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700" windowHeight="7395" activeTab="0"/>
  </bookViews>
  <sheets>
    <sheet name="Ставки капитализации" sheetId="1" r:id="rId1"/>
  </sheets>
  <definedNames>
    <definedName name="EXTRACT" localSheetId="0">'Ставки капитализации'!$K$90</definedName>
  </definedNames>
  <calcPr fullCalcOnLoad="1"/>
</workbook>
</file>

<file path=xl/sharedStrings.xml><?xml version="1.0" encoding="utf-8"?>
<sst xmlns="http://schemas.openxmlformats.org/spreadsheetml/2006/main" count="3081" uniqueCount="1173">
  <si>
    <t>https://torgi.gov.ru/restricted/notification/notificationView.html?notificationId=6997401&amp;lotId=6997617&amp;prevPageN=2</t>
  </si>
  <si>
    <t>Ханты-Мансийский АО</t>
  </si>
  <si>
    <t>Березовский р-н, Игрим пгт</t>
  </si>
  <si>
    <t>Для ведения крестьянско-фермерского хозяйства</t>
  </si>
  <si>
    <t>86:05:0326004:33</t>
  </si>
  <si>
    <t>https://torgi.gov.ru/restricted/notification/notificationView.html?notificationId=6997401&amp;lotId=6997655&amp;prevPageN=2</t>
  </si>
  <si>
    <t>86:05:0326004:34</t>
  </si>
  <si>
    <t>https://torgi.gov.ru/restricted/notification/notificationView.html?notificationId=7518465&amp;lotId=7518537&amp;prevPageN=2</t>
  </si>
  <si>
    <t>Орловская обл</t>
  </si>
  <si>
    <t>район Дмитровский, сельское поселение Домаховское</t>
  </si>
  <si>
    <t>57:07:0670101:77</t>
  </si>
  <si>
    <t>https://torgi.gov.ru/restricted/notification/notificationView.html?notificationId=7518465&amp;lotId=7518639&amp;prevPageN=2</t>
  </si>
  <si>
    <t>57:07:0010102:306</t>
  </si>
  <si>
    <t>https://torgi.gov.ru/restricted/notification/notificationView.html?notificationId=7518465&amp;lotId=7518702&amp;prevPageN=2</t>
  </si>
  <si>
    <t>Дмитровский район, Алешинское сельское поселение</t>
  </si>
  <si>
    <t>57:07:0010301:65</t>
  </si>
  <si>
    <t>https://torgi.gov.ru/restricted/notification/notificationView.html?notificationId=7518465&amp;lotId=7518756&amp;prevPageN=2</t>
  </si>
  <si>
    <t>57:07:0010102:305</t>
  </si>
  <si>
    <t>https://torgi.gov.ru/restricted/notification/notificationView.html?notificationId=7518465&amp;lotId=7518852&amp;prevPageN=2</t>
  </si>
  <si>
    <t>57:07:0010301:66</t>
  </si>
  <si>
    <t>https://torgi.gov.ru/restricted/notification/notificationView.html?notificationId=7518465&amp;lotId=7518998&amp;prevPageN=2</t>
  </si>
  <si>
    <t>район Дмитровский, сельское поселение Горбуновское</t>
  </si>
  <si>
    <t>57:07:0020201:262</t>
  </si>
  <si>
    <t>https://torgi.gov.ru/restricted/notification/notificationView.html?notificationId=7006159&amp;lotId=7006226&amp;prevPageN=2</t>
  </si>
  <si>
    <t>Юргинский район, Бушуевская сельская администрация</t>
  </si>
  <si>
    <t>Для производства сельхозпродукции</t>
  </si>
  <si>
    <t>72:20:0203001:321</t>
  </si>
  <si>
    <t xml:space="preserve"> 26.09.2014</t>
  </si>
  <si>
    <t>https://torgi.gov.ru/restricted/notification/notificationView.html?notificationId=7006159&amp;lotId=7006269&amp;prevPageN=2</t>
  </si>
  <si>
    <t>Юргинский район. Ориентир н.п.Бушуево</t>
  </si>
  <si>
    <t>72:20:0203001:337</t>
  </si>
  <si>
    <t>https://torgi.gov.ru/restricted/notification/notificationView.html?notificationId=7006159&amp;lotId=7006358&amp;prevPageN=2</t>
  </si>
  <si>
    <t>72:20:0204002:132</t>
  </si>
  <si>
    <t>https://torgi.gov.ru/restricted/notification/notificationView.html?notificationId=7013791&amp;lotId=7014346&amp;prevPageN=2</t>
  </si>
  <si>
    <t>Нурлатский муниципальный район Тимерлекское СП</t>
  </si>
  <si>
    <t>16:32:000000:1121</t>
  </si>
  <si>
    <t>https://torgi.gov.ru/restricted/notification/notificationView.html?notificationId=7534694&amp;lotId=7534742&amp;prevPageN=2</t>
  </si>
  <si>
    <t>02:17:011301:52</t>
  </si>
  <si>
    <t>https://torgi.gov.ru/restricted/notification/notificationView.html?notificationId=7534694&amp;lotId=7534752&amp;prevPageN=2</t>
  </si>
  <si>
    <t>02:17:011302:39</t>
  </si>
  <si>
    <t>https://torgi.gov.ru/restricted/notification/notificationView.html?notificationId=7534694&amp;lotId=7534768&amp;prevPageN=2</t>
  </si>
  <si>
    <t>02:17:011302:40</t>
  </si>
  <si>
    <t>https://torgi.gov.ru/restricted/notification/notificationView.html?notificationId=7534694&amp;lotId=7534793&amp;prevPageN=2</t>
  </si>
  <si>
    <t>02:17:011302:41</t>
  </si>
  <si>
    <t>https://torgi.gov.ru/restricted/notification/notificationView.html?notificationId=7534694&amp;lotId=7534812&amp;prevPageN=2</t>
  </si>
  <si>
    <t>02:17:011402:29</t>
  </si>
  <si>
    <t>https://torgi.gov.ru/restricted/notification/notificationView.html?notificationId=7534694&amp;lotId=7534807&amp;prevPageN=2</t>
  </si>
  <si>
    <t>02:17:011402:30</t>
  </si>
  <si>
    <t>https://torgi.gov.ru/restricted/notification/notificationView.html?notificationId=7534694&amp;lotId=7534818&amp;prevPageN=2</t>
  </si>
  <si>
    <t>02:17:011501:27</t>
  </si>
  <si>
    <t>https://torgi.gov.ru/restricted/notification/notificationView.html?notificationId=7534694&amp;lotId=7534851&amp;prevPageN=2</t>
  </si>
  <si>
    <t>02:17:011601:13</t>
  </si>
  <si>
    <t>https://torgi.gov.ru/restricted/notification/notificationView.html?notificationId=7534694&amp;lotId=7534857&amp;prevPageN=2</t>
  </si>
  <si>
    <t>02:17:000000:534</t>
  </si>
  <si>
    <t>https://torgi.gov.ru/restricted/notification/notificationView.html?notificationId=7534694&amp;lotId=7534959&amp;prevPageN=2</t>
  </si>
  <si>
    <t>02:17:040902:26</t>
  </si>
  <si>
    <t>https://torgi.gov.ru/restricted/notification/notificationView.html?notificationId=7534694&amp;lotId=7534980&amp;prevPageN=2</t>
  </si>
  <si>
    <t>02:17:011402:28</t>
  </si>
  <si>
    <t>https://torgi.gov.ru/restricted/notification/notificationView.html?notificationId=7535867&amp;lotId=7536179&amp;prevPageN=2</t>
  </si>
  <si>
    <t>Свердловский р-н</t>
  </si>
  <si>
    <t>57:15:0930101:240</t>
  </si>
  <si>
    <t>https://torgi.gov.ru/restricted/notification/notificationView.html?notificationId=7535867&amp;lotId=7536387&amp;prevPageN=2</t>
  </si>
  <si>
    <t>57:15:0210101:290</t>
  </si>
  <si>
    <t>Глушковский р-н, Нижнемордокский с/с</t>
  </si>
  <si>
    <t>для
сельскохозяйственного производства</t>
  </si>
  <si>
    <t>https://torgi.gov.ru/restricted/notification/notificationView.html?notificationId=7550131&amp;lotId=7550917&amp;prevPageN=2</t>
  </si>
  <si>
    <t>46:03:000000:714</t>
  </si>
  <si>
    <t>https://torgi.gov.ru/restricted/notification/notificationView.html?notificationId=7268656&amp;lotId=7268882&amp;prevPageN=2</t>
  </si>
  <si>
    <t>Грачевский р-н, Ключи с</t>
  </si>
  <si>
    <t>56:10:0505001:4</t>
  </si>
  <si>
    <t>https://torgi.gov.ru/restricted/notification/notificationView.html?notificationId=7279087&amp;lotId=7279164&amp;prevPageN=2</t>
  </si>
  <si>
    <t>61:59:0030332:28</t>
  </si>
  <si>
    <t>Октябрьский район, Краснолучское сельское поселение</t>
  </si>
  <si>
    <t>Земли населённых пунктов</t>
  </si>
  <si>
    <t>https://torgi.gov.ru/restricted/notification/notificationView.html?notificationId=7279087&amp;lotId=7279227&amp;prevPageN=2</t>
  </si>
  <si>
    <t>Октябрьский район, Краснолучское сельское поселение, вблизи п. Первомайский</t>
  </si>
  <si>
    <t>61:28:0600018:180</t>
  </si>
  <si>
    <t>https://torgi.gov.ru/restricted/notification/notificationView.html?notificationId=7279087&amp;lotId=7279274&amp;prevPageN=2</t>
  </si>
  <si>
    <t>Октябрьский район, вблизи х. Веселая Бахмутовка</t>
  </si>
  <si>
    <t>61:28:0600007:1061</t>
  </si>
  <si>
    <t>https://torgi.gov.ru/restricted/notification/notificationView.html?notificationId=7279087&amp;lotId=7279336&amp;prevPageN=2</t>
  </si>
  <si>
    <t>Октябрьский район, вблизи х. Керчик-Савров</t>
  </si>
  <si>
    <t>61:28:0600007:1062</t>
  </si>
  <si>
    <t>https://torgi.gov.ru/restricted/notification/notificationView.html?notificationId=7279087&amp;lotId=7279382&amp;prevPageN=2</t>
  </si>
  <si>
    <t>Октябрьский район, южнее ст. Кривянская</t>
  </si>
  <si>
    <t>пашни, сенокосы, пастбища, сады</t>
  </si>
  <si>
    <t>61:28:0600022:865</t>
  </si>
  <si>
    <t>https://torgi.gov.ru/restricted/notification/notificationView.html?notificationId=7279091&amp;lotId=7279116&amp;prevPageN=2</t>
  </si>
  <si>
    <t>Щекинский р-н</t>
  </si>
  <si>
    <t>71:22:050501:41</t>
  </si>
  <si>
    <t>https://torgi.gov.ru/restricted/notification/notificationView.html?notificationId=7279091&amp;lotId=7279173&amp;prevPageN=2</t>
  </si>
  <si>
    <t>71:22:050501:40</t>
  </si>
  <si>
    <t>https://torgi.gov.ru/restricted/notification/notificationView.html?notificationId=7277114&amp;lotId=7277280&amp;prevPageN=2</t>
  </si>
  <si>
    <t>Ютазинский р-н, Дым-Тамак с, Ленина ул</t>
  </si>
  <si>
    <t>16:43:040101:23</t>
  </si>
  <si>
    <t>https://torgi.gov.ru/restricted/notification/notificationView.html?notificationId=7032956&amp;lotId=7033513&amp;prevPageN=2</t>
  </si>
  <si>
    <t xml:space="preserve">Оренбургский р-н, Экспериментальный п </t>
  </si>
  <si>
    <t>56:21:2914003:11</t>
  </si>
  <si>
    <t>https://torgi.gov.ru/restricted/notification/notificationView.html?notificationId=7294200&amp;lotId=7295731&amp;prevPageN=2</t>
  </si>
  <si>
    <t>Балаковский р-н, Новониколаевский п, Строительная ул</t>
  </si>
  <si>
    <t>64:05:070505:156</t>
  </si>
  <si>
    <t>https://torgi.gov.ru/restricted/notification/notificationView.html?notificationId=7299940&amp;lotId=7300003&amp;prevPageN=2</t>
  </si>
  <si>
    <t>Марьяновский р-н</t>
  </si>
  <si>
    <t>для размещения зданий, строений, сооружений, используемых для производства, хранения и первичной переработки сельскохозяйственной продукции</t>
  </si>
  <si>
    <t>55:12:030702:10</t>
  </si>
  <si>
    <t>https://torgi.gov.ru/restricted/notification/notificationView.html?notificationId=7299705&amp;lotId=7299774&amp;prevPageN=2</t>
  </si>
  <si>
    <t>Дальнереченский р-н, Голубовка с</t>
  </si>
  <si>
    <t>сельскохозяйственное использование</t>
  </si>
  <si>
    <t>25:02:010602:190, 25:02:010602:188. 25:02:010602:186. 25:02:010602:189. 25:02:010602:182.</t>
  </si>
  <si>
    <t>https://torgi.gov.ru/restricted/notification/notificationView.html?notificationId=7299705&amp;lotId=7300284&amp;prevPageN=2</t>
  </si>
  <si>
    <t>Дальнереченский р-н, Рождественка с</t>
  </si>
  <si>
    <t>25:02:010602:187, 25:02:010602:191, 25:02:010602:184. 25:02:000000:251 25:02:000000:252. 25:02:000000:253. 25:02:000000:258. 25:02:010602:192. 25:02:010602:185. 25:02:010602:180. 25:02:000000:259. 25:02:000000:254. 25:02:000000:260. 25:02:000000:261. 25</t>
  </si>
  <si>
    <t>https://torgi.gov.ru/restricted/notification/notificationView.html?notificationId=7299705&amp;lotId=7300404&amp;prevPageN=2</t>
  </si>
  <si>
    <t>25:02:010601:284. 25:02:010601:287. 25:02:010601:288. 25:02:010601:283. 25:02:010601:278 25:02:010601:279. 25:02:010601:280.</t>
  </si>
  <si>
    <t>https://torgi.gov.ru/restricted/notification/notificationView.html?notificationId=7299705&amp;lotId=7300427&amp;prevPageN=2</t>
  </si>
  <si>
    <t>25:02:000000:250. 25:02:000000:269</t>
  </si>
  <si>
    <t>СТАВКИ КАПИТАЛИЗАЦИИ</t>
  </si>
  <si>
    <t>ВСЕГО</t>
  </si>
  <si>
    <t>Срок аренды (лет)</t>
  </si>
  <si>
    <t>Субъект федерации</t>
  </si>
  <si>
    <t>ИСКЛЮЧЕНЫ ИЗ ВЫБОРКИ</t>
  </si>
  <si>
    <t>ВСЕГО по Центральному ФО</t>
  </si>
  <si>
    <t>ВСЕГО по Приволжскому ФО</t>
  </si>
  <si>
    <t>Федеральный округ</t>
  </si>
  <si>
    <t>ЮЖНЫЙ и СЕВ.-КАВКАЗСКИЙ ФО</t>
  </si>
  <si>
    <t>ПРИВОЛЖСКИЙ ФО</t>
  </si>
  <si>
    <t>ЦЕНТРАЛЬНЫЙ ФО</t>
  </si>
  <si>
    <t>ВСЕГО по Уральскому ФО</t>
  </si>
  <si>
    <t>УРАЛЬСКИЙ ФО</t>
  </si>
  <si>
    <t>ВСЕГО по Южному, Сев.-Кавказскому ФО</t>
  </si>
  <si>
    <t>ВСЕГО по Сибирскому ФО</t>
  </si>
  <si>
    <t>СИБИРСКИЙ ФО</t>
  </si>
  <si>
    <t>макс</t>
  </si>
  <si>
    <t>Площадь ЗУ &gt;1 га</t>
  </si>
  <si>
    <t>ЧИСЛО ОТОБРАННЫХ ЗАПИСЕЙ</t>
  </si>
  <si>
    <t>Южный и Северо-Кавказский</t>
  </si>
  <si>
    <t>Состоявшиеся аукционы на сайте https://torgi.gov.ru за 2014 год</t>
  </si>
  <si>
    <t>https://torgi.gov.ru/restricted/notification/notificationView.html?notificationId=5263944&amp;lotId=5264004&amp;prevPageN=1</t>
  </si>
  <si>
    <t>Павловский р-н</t>
  </si>
  <si>
    <t>для сельскохозяйственного производства (пашня), цель использования: для развития животноводства</t>
  </si>
  <si>
    <t>22:31:030601:33</t>
  </si>
  <si>
    <t>https://torgi.gov.ru/restricted/notification/notificationView.html?notificationId=5906147&amp;lotId=5907389&amp;prevPageN=1</t>
  </si>
  <si>
    <t>Кинельский р-н, Бугры п</t>
  </si>
  <si>
    <t>63:27:0303007:2</t>
  </si>
  <si>
    <t>63:22:1804005:671</t>
  </si>
  <si>
    <t>Краснодарский край</t>
  </si>
  <si>
    <t xml:space="preserve"> 12.03.2014</t>
  </si>
  <si>
    <t>https://torgi.gov.ru/restricted/notification/notificationView.html?notificationId=5703376&amp;lotId=5703581&amp;prevPageN=1</t>
  </si>
  <si>
    <t>Нижегородская обл</t>
  </si>
  <si>
    <t>Арзамасский район, юго-восточнее с. Н.Усад.</t>
  </si>
  <si>
    <t>52:41:2003001:125</t>
  </si>
  <si>
    <t>https://torgi.gov.ru/restricted/notification/notificationView.html?notificationId=5698189&amp;lotId=5698197&amp;prevPageN=1</t>
  </si>
  <si>
    <t>Свердловская обл</t>
  </si>
  <si>
    <t>Режевской р-н</t>
  </si>
  <si>
    <t>для сельхозиспользования</t>
  </si>
  <si>
    <t>66:22:0109003:147</t>
  </si>
  <si>
    <t xml:space="preserve"> 19.05.2014</t>
  </si>
  <si>
    <t>https://torgi.gov.ru/restricted/notification/notificationView.html?notificationId=5698255&amp;lotId=5698260&amp;prevPageN=1</t>
  </si>
  <si>
    <t>66:22:0109003:146</t>
  </si>
  <si>
    <t>https://torgi.gov.ru/restricted/notification/notificationView.html?notificationId=5921585&amp;lotId=5921925&amp;prevPageN=1</t>
  </si>
  <si>
    <t>Локтевский район</t>
  </si>
  <si>
    <t>22:26:010104:164</t>
  </si>
  <si>
    <t>https://torgi.gov.ru/restricted/notification/notificationView.html?notificationId=5921585&amp;lotId=5922223&amp;prevPageN=1</t>
  </si>
  <si>
    <t>22:26:010104:168</t>
  </si>
  <si>
    <t xml:space="preserve"> 12.08.2014</t>
  </si>
  <si>
    <t>https://torgi.gov.ru/restricted/notification/notificationView.html?notificationId=6380316&amp;lotId=6380410&amp;prevPageN=1</t>
  </si>
  <si>
    <t>Петровский р-н, Гофицкое с</t>
  </si>
  <si>
    <t>26:08:090102:42</t>
  </si>
  <si>
    <t>Воронежская обл</t>
  </si>
  <si>
    <t>https://torgi.gov.ru/restricted/notification/notificationView.html?notificationId=5713470&amp;lotId=5713803&amp;prevPageN=1</t>
  </si>
  <si>
    <t>Сысертский р-н</t>
  </si>
  <si>
    <t>для ведения крестьянского (фермерского) хозяйства</t>
  </si>
  <si>
    <t>66:25:3611001:99</t>
  </si>
  <si>
    <t>https://torgi.gov.ru/restricted/notification/notificationView.html?notificationId=6158519&amp;lotId=6158735&amp;prevPageN=1</t>
  </si>
  <si>
    <t>Омская обл</t>
  </si>
  <si>
    <t>Кормиловский р-н, Борки с</t>
  </si>
  <si>
    <t>55:09:030603:81</t>
  </si>
  <si>
    <t xml:space="preserve"> 23.07.2014</t>
  </si>
  <si>
    <t>https://torgi.gov.ru/restricted/notification/notificationView.html?notificationId=6160715&amp;lotId=6160894&amp;prevPageN=1</t>
  </si>
  <si>
    <t>Тацинский р-н, Тацинская ст-ца</t>
  </si>
  <si>
    <t>61:38:0600009:1243</t>
  </si>
  <si>
    <t>https://torgi.gov.ru/restricted/notification/notificationView.html?notificationId=6160715&amp;lotId=6160984&amp;prevPageN=1</t>
  </si>
  <si>
    <t>61:38:0600009:770</t>
  </si>
  <si>
    <t xml:space="preserve"> 30.06.2014</t>
  </si>
  <si>
    <t>https://torgi.gov.ru/restricted/notification/notificationView.html?notificationId=6160715&amp;lotId=6161010&amp;prevPageN=1</t>
  </si>
  <si>
    <t>61:38:0600009:436</t>
  </si>
  <si>
    <t xml:space="preserve"> 09.06.2014 </t>
  </si>
  <si>
    <t>https://torgi.gov.ru/restricted/notification/notificationView.html?notificationId=6160715&amp;lotId=6161278&amp;prevPageN=1</t>
  </si>
  <si>
    <t>61:38:0600009:970</t>
  </si>
  <si>
    <t>https://torgi.gov.ru/restricted/notification/notificationView.html?notificationId=6160715&amp;lotId=6161409&amp;prevPageN=1</t>
  </si>
  <si>
    <t>61:38:0600009:455</t>
  </si>
  <si>
    <t>https://torgi.gov.ru/restricted/notification/notificationView.html?notificationId=6160715&amp;lotId=6161520&amp;prevPageN=1</t>
  </si>
  <si>
    <t>61:38:0600009:173</t>
  </si>
  <si>
    <t>https://torgi.gov.ru/restricted/notification/notificationView.html?notificationId=6385297&amp;lotId=6386061&amp;prevPageN=1</t>
  </si>
  <si>
    <t>Киреевский р-н, Медвенка д</t>
  </si>
  <si>
    <t>71:12:030108:27</t>
  </si>
  <si>
    <t>https://torgi.gov.ru/restricted/notification/notificationView.html?notificationId=6385297&amp;lotId=6386095&amp;prevPageN=1</t>
  </si>
  <si>
    <t>Киреевский р-н, Пятницкое с</t>
  </si>
  <si>
    <t>71:12:020108:98</t>
  </si>
  <si>
    <t>https://torgi.gov.ru/restricted/notification/notificationView.html?notificationId=6385297&amp;lotId=6386169&amp;prevPageN=1</t>
  </si>
  <si>
    <t>71:12:020108:99</t>
  </si>
  <si>
    <t>https://torgi.gov.ru/restricted/notification/notificationView.html?notificationId=6385297&amp;lotId=6386210&amp;prevPageN=1</t>
  </si>
  <si>
    <t>71:12:020108:100</t>
  </si>
  <si>
    <t>https://torgi.gov.ru/restricted/notification/notificationView.html?notificationId=6385297&amp;lotId=6386301&amp;prevPageN=1</t>
  </si>
  <si>
    <t>71:12:020108:102</t>
  </si>
  <si>
    <t>https://torgi.gov.ru/restricted/notification/notificationView.html?notificationId=6385297&amp;lotId=6386355&amp;prevPageN=1</t>
  </si>
  <si>
    <t>71:12:020108:105</t>
  </si>
  <si>
    <t>https://torgi.gov.ru/restricted/notification/notificationView.html?notificationId=6385297&amp;lotId=6386391&amp;prevPageN=1</t>
  </si>
  <si>
    <t>71:12:020108:107</t>
  </si>
  <si>
    <t>https://torgi.gov.ru/restricted/notification/notificationView.html?notificationId=6386610&amp;lotId=6386683&amp;prevPageN=1</t>
  </si>
  <si>
    <t>71:12:020122:34</t>
  </si>
  <si>
    <t>https://torgi.gov.ru/restricted/notification/notificationView.html?notificationId=6386610&amp;lotId=6386714&amp;prevPageN=1</t>
  </si>
  <si>
    <t>71:12:020122:35</t>
  </si>
  <si>
    <t>https://torgi.gov.ru/restricted/notification/notificationView.html?notificationId=6386610&amp;lotId=6386854&amp;prevPageN=1</t>
  </si>
  <si>
    <t>Киреевский р-н, Болохово г</t>
  </si>
  <si>
    <t>71:12:070215:85</t>
  </si>
  <si>
    <t>https://torgi.gov.ru/restricted/notification/notificationView.html?notificationId=5720032&amp;lotId=5720131&amp;prevPageN=1</t>
  </si>
  <si>
    <t>Красноярский край</t>
  </si>
  <si>
    <t>Абанский р-н</t>
  </si>
  <si>
    <t>24:01:0502004:333</t>
  </si>
  <si>
    <t xml:space="preserve"> 10.04.2014</t>
  </si>
  <si>
    <t xml:space="preserve"> 14.05.2014</t>
  </si>
  <si>
    <t>Калининградская обл</t>
  </si>
  <si>
    <t>https://torgi.gov.ru/restricted/notification/notificationView.html?notificationId=6401802&amp;lotId=6401839&amp;prevPageN=1</t>
  </si>
  <si>
    <t>Курская обл</t>
  </si>
  <si>
    <t>Большесолдатский р-н, Нижнегридинский с/с</t>
  </si>
  <si>
    <t>46:02:070406:4</t>
  </si>
  <si>
    <t>https://torgi.gov.ru/restricted/notification/notificationView.html?notificationId=6395198&amp;lotId=6395843&amp;prevPageN=1</t>
  </si>
  <si>
    <t>Ипатовский р-н, Первомайское с</t>
  </si>
  <si>
    <t>26:02:011902:13</t>
  </si>
  <si>
    <t>https://torgi.gov.ru/restricted/notification/notificationView.html?notificationId=6878824&amp;lotId=6878825&amp;prevPageN=1</t>
  </si>
  <si>
    <t>Шушенский р-н, Козлово д</t>
  </si>
  <si>
    <t>24:42:0301003:585</t>
  </si>
  <si>
    <t xml:space="preserve"> 01.09.2014</t>
  </si>
  <si>
    <t>https://torgi.gov.ru/restricted/notification/notificationView.html?notificationId=5280333&amp;lotId=5280374&amp;prevPageN=1</t>
  </si>
  <si>
    <t>Урванский р-н, Нижний Черек с</t>
  </si>
  <si>
    <t>для использования в сельскохозяйственных целях</t>
  </si>
  <si>
    <t>07:07:3500000:147</t>
  </si>
  <si>
    <t xml:space="preserve"> 25.03.2014</t>
  </si>
  <si>
    <t>https://torgi.gov.ru/restricted/notification/notificationView.html?notificationId=5280333&amp;lotId=5280416&amp;prevPageN=1</t>
  </si>
  <si>
    <t>пашня</t>
  </si>
  <si>
    <t>07:07:3500000:150</t>
  </si>
  <si>
    <t>https://torgi.gov.ru/restricted/notification/notificationView.html?notificationId=5280333&amp;lotId=5280459&amp;prevPageN=1</t>
  </si>
  <si>
    <t>с.Нижний Черек, за чертой населенного пункта</t>
  </si>
  <si>
    <t>07:07:3500000:144</t>
  </si>
  <si>
    <t>https://torgi.gov.ru/restricted/notification/notificationView.html?notificationId=6179765&amp;lotId=6179932&amp;prevPageN=1</t>
  </si>
  <si>
    <t>Волгоградская обл</t>
  </si>
  <si>
    <t>Октябрьский р-н, Абганерово с</t>
  </si>
  <si>
    <t>Для производства сельскохозяйственной продукции</t>
  </si>
  <si>
    <t>34:21:150003:2</t>
  </si>
  <si>
    <t xml:space="preserve"> 11.06.2014</t>
  </si>
  <si>
    <t xml:space="preserve"> 21.07.2014</t>
  </si>
  <si>
    <t>https://torgi.gov.ru/restricted/notification/notificationView.html?notificationId=6179765&amp;lotId=6180145&amp;prevPageN=1</t>
  </si>
  <si>
    <t>34:21:150003:3</t>
  </si>
  <si>
    <t>https://torgi.gov.ru/restricted/notification/notificationView.html?notificationId=5287006&amp;lotId=5287051&amp;prevPageN=1</t>
  </si>
  <si>
    <t>Богородицкий р-н, Ломовка с, Конечная сл</t>
  </si>
  <si>
    <t>71:04:050301:28</t>
  </si>
  <si>
    <t>https://torgi.gov.ru/restricted/notification/notificationView.html?notificationId=5287006&amp;lotId=5287101&amp;prevPageN=1</t>
  </si>
  <si>
    <t>Богородицкий р-н, Товарково с</t>
  </si>
  <si>
    <t>71:04:020601:90</t>
  </si>
  <si>
    <t>https://torgi.gov.ru/restricted/notification/notificationView.html?notificationId=5287006&amp;lotId=5287208&amp;prevPageN=1</t>
  </si>
  <si>
    <t>71:04:020601:91</t>
  </si>
  <si>
    <t>https://torgi.gov.ru/restricted/notification/notificationView.html?notificationId=5287006&amp;lotId=5287230&amp;prevPageN=1</t>
  </si>
  <si>
    <t>71:04:020601:92</t>
  </si>
  <si>
    <t>https://torgi.gov.ru/restricted/notification/notificationView.html?notificationId=5287006&amp;lotId=5287242&amp;prevPageN=1</t>
  </si>
  <si>
    <t>Богородицкий р-н, Сухотино д</t>
  </si>
  <si>
    <t>71:04:040401:204</t>
  </si>
  <si>
    <t>https://torgi.gov.ru/restricted/notification/notificationView.html?notificationId=5287006&amp;lotId=5287321&amp;prevPageN=1</t>
  </si>
  <si>
    <t>71:04:040401:210</t>
  </si>
  <si>
    <t>https://torgi.gov.ru/restricted/notification/notificationView.html?notificationId=5287006&amp;lotId=5287403&amp;prevPageN=1</t>
  </si>
  <si>
    <t>Богородицкий р-н, Кузовка с</t>
  </si>
  <si>
    <t>71:04:050601:168</t>
  </si>
  <si>
    <t>https://torgi.gov.ru/restricted/notification/notificationView.html?notificationId=5287006&amp;lotId=5287418&amp;prevPageN=1</t>
  </si>
  <si>
    <t>71:04:050601:166</t>
  </si>
  <si>
    <t>https://torgi.gov.ru/restricted/notification/notificationView.html?notificationId=5287006&amp;lotId=5287486&amp;prevPageN=1</t>
  </si>
  <si>
    <t>71:04:050601:165</t>
  </si>
  <si>
    <t>https://torgi.gov.ru/restricted/notification/notificationView.html?notificationId=5287006&amp;lotId=5287521&amp;prevPageN=1</t>
  </si>
  <si>
    <t>71:04:050601:162</t>
  </si>
  <si>
    <t>https://torgi.gov.ru/restricted/notification/notificationView.html?notificationId=5287006&amp;lotId=5287581&amp;prevPageN=1</t>
  </si>
  <si>
    <t>71:04:050601:163</t>
  </si>
  <si>
    <t>https://torgi.gov.ru/restricted/notification/notificationView.html?notificationId=5287006&amp;lotId=5287612&amp;prevPageN=1</t>
  </si>
  <si>
    <t>Богородицкий р-н, Левинка с</t>
  </si>
  <si>
    <t>71:04:040401:187</t>
  </si>
  <si>
    <t>https://torgi.gov.ru/restricted/notification/notificationView.html?notificationId=5287006&amp;lotId=5287651&amp;prevPageN=1</t>
  </si>
  <si>
    <t>71:04:040401:189</t>
  </si>
  <si>
    <t>https://torgi.gov.ru/restricted/notification/notificationView.html?notificationId=5290837&amp;lotId=5290967&amp;prevPageN=1</t>
  </si>
  <si>
    <t>Веселовский р-н</t>
  </si>
  <si>
    <t>61:06:0600012:115</t>
  </si>
  <si>
    <t>https://torgi.gov.ru/restricted/notification/notificationView.html?notificationId=5062368&amp;lotId=5062412&amp;prevPageN=1</t>
  </si>
  <si>
    <t>Саха /Якутия/ Респ</t>
  </si>
  <si>
    <t>Верхневилюйский у, Андреевский с</t>
  </si>
  <si>
    <t>Сенокошение</t>
  </si>
  <si>
    <t>14:07:070003:1240</t>
  </si>
  <si>
    <t xml:space="preserve"> 20.02.2014</t>
  </si>
  <si>
    <t>https://torgi.gov.ru/restricted/notification/notificationView.html?notificationId=5062368&amp;lotId=5062431&amp;prevPageN=1</t>
  </si>
  <si>
    <t>14:07:070003:1236</t>
  </si>
  <si>
    <t>https://torgi.gov.ru/restricted/notification/notificationView.html?notificationId=5495399&amp;lotId=5495463&amp;prevPageN=1</t>
  </si>
  <si>
    <t>Красноармейский р-н, Старонижестеблиевская ст-ца</t>
  </si>
  <si>
    <t>23:13:0404000:1731</t>
  </si>
  <si>
    <t xml:space="preserve"> 14.03.2014</t>
  </si>
  <si>
    <t xml:space="preserve"> 16.04.2014</t>
  </si>
  <si>
    <t>https://torgi.gov.ru/restricted/notification/notificationView.html?notificationId=5498252&amp;lotId=5498451&amp;prevPageN=1</t>
  </si>
  <si>
    <t>Кормиловский р-н, Корниловка д</t>
  </si>
  <si>
    <t>55:09:030601:302</t>
  </si>
  <si>
    <t>Субъект Федерации</t>
  </si>
  <si>
    <t>Сибирский</t>
  </si>
  <si>
    <t>Центральный</t>
  </si>
  <si>
    <t>Приволжский</t>
  </si>
  <si>
    <t>Южный</t>
  </si>
  <si>
    <t>Уральский</t>
  </si>
  <si>
    <t>Северо-Кавказский</t>
  </si>
  <si>
    <t>Северо-Западный</t>
  </si>
  <si>
    <t>Дальневосточный</t>
  </si>
  <si>
    <t>Южный, Северо-Кавказский ФО</t>
  </si>
  <si>
    <t>Северо-Западный ФО</t>
  </si>
  <si>
    <t>https://torgi.gov.ru/restricted/notification/notificationView.html?notificationId=5072509&amp;lotId=5072611&amp;prevPageN=1</t>
  </si>
  <si>
    <t>56:19:1114001:69</t>
  </si>
  <si>
    <t>https://torgi.gov.ru/restricted/notification/notificationView.html?notificationId=5072509&amp;lotId=5072767&amp;prevPageN=1</t>
  </si>
  <si>
    <t>56:19:1110001:49</t>
  </si>
  <si>
    <t>https://torgi.gov.ru/restricted/notification/notificationView.html?notificationId=5072509&amp;lotId=5072944&amp;prevPageN=1</t>
  </si>
  <si>
    <t>56:19:1110001:48</t>
  </si>
  <si>
    <t>https://torgi.gov.ru/restricted/notification/notificationView.html?notificationId=5072509&amp;lotId=5073005&amp;prevPageN=1</t>
  </si>
  <si>
    <t>56:19:1114001:71</t>
  </si>
  <si>
    <t>https://torgi.gov.ru/restricted/notification/notificationView.html?notificationId=5504771&amp;lotId=5504826&amp;prevPageN=9</t>
  </si>
  <si>
    <t>Смоленский р-н</t>
  </si>
  <si>
    <t>22:41:040301:0631</t>
  </si>
  <si>
    <t xml:space="preserve"> 21.04.2014</t>
  </si>
  <si>
    <t>https://torgi.gov.ru/restricted/notification/notificationView.html?notificationId=5504771&amp;lotId=5505045&amp;prevPageN=9</t>
  </si>
  <si>
    <t>22:41:021301:1259</t>
  </si>
  <si>
    <t xml:space="preserve"> 14.03.2014 </t>
  </si>
  <si>
    <t>https://torgi.gov.ru/restricted/notification/notificationView.html?notificationId=5504771&amp;lotId=5505091&amp;prevPageN=9</t>
  </si>
  <si>
    <t>22:41:020103:5</t>
  </si>
  <si>
    <t>https://torgi.gov.ru/restricted/notification/notificationView.html?notificationId=5504771&amp;lotId=5505137&amp;prevPageN=9</t>
  </si>
  <si>
    <t>22:41:010501:1854</t>
  </si>
  <si>
    <t>https://torgi.gov.ru/restricted/notification/notificationView.html?notificationId=5504771&amp;lotId=5505197&amp;prevPageN=9</t>
  </si>
  <si>
    <t>22:41:010501:1855</t>
  </si>
  <si>
    <t>https://torgi.gov.ru/restricted/notification/notificationView.html?notificationId=5504771&amp;lotId=5505260&amp;prevPageN=9</t>
  </si>
  <si>
    <t>22:41:030501:1155, 22:41:030402:194, 22:41:030501:1156</t>
  </si>
  <si>
    <t>https://torgi.gov.ru/restricted/notification/notificationView.html?notificationId=5504771&amp;lotId=5505354&amp;prevPageN=9</t>
  </si>
  <si>
    <t>22:41:030501:1128</t>
  </si>
  <si>
    <t>https://torgi.gov.ru/restricted/notification/notificationView.html?notificationId=5741445&amp;lotId=5741472&amp;prevPageN=9</t>
  </si>
  <si>
    <t>Челябинская обл</t>
  </si>
  <si>
    <t>Кизильский р-н, 9 км на северо-восток от пос. Зингейский</t>
  </si>
  <si>
    <t>для ведения товарного сельхозпроизводства</t>
  </si>
  <si>
    <t>74:11:0305006:7</t>
  </si>
  <si>
    <t xml:space="preserve"> 15.04.2014</t>
  </si>
  <si>
    <t xml:space="preserve"> 27.05.2014</t>
  </si>
  <si>
    <t>https://torgi.gov.ru/restricted/notification/notificationView.html?notificationId=5741445&amp;lotId=5741538&amp;prevPageN=9</t>
  </si>
  <si>
    <t>Кизильский р-н, 3,5 км на юго-запад от пос. Зингейский</t>
  </si>
  <si>
    <t>74:11:0304007:4</t>
  </si>
  <si>
    <t>https://torgi.gov.ru/restricted/notification/notificationView.html?notificationId=5741445&amp;lotId=5748067&amp;prevPageN=9</t>
  </si>
  <si>
    <t>Кизильский р-н, 6 км на северо-восток от пос. Зингейский</t>
  </si>
  <si>
    <t>74:11:0305003:4</t>
  </si>
  <si>
    <t>https://torgi.gov.ru/restricted/notification/notificationView.html?notificationId=5741445&amp;lotId=5748091&amp;prevPageN=9</t>
  </si>
  <si>
    <t>Кизильский р-н, 1,2 км на юг от пос. Зингейский</t>
  </si>
  <si>
    <t>74:11:0305009:6</t>
  </si>
  <si>
    <t>https://torgi.gov.ru/restricted/notification/notificationView.html?notificationId=5741445&amp;lotId=5748285&amp;prevPageN=9</t>
  </si>
  <si>
    <t>Кизильский р-н, 2,5 км на юго-запад от пос. Зингейский</t>
  </si>
  <si>
    <t>74:11:0304005:13</t>
  </si>
  <si>
    <t>https://torgi.gov.ru/restricted/notification/notificationView.html?notificationId=5741445&amp;lotId=5755739&amp;prevPageN=9</t>
  </si>
  <si>
    <t>Кизильский р-н, 3,2 км на северо-запад от пос. Зингейский</t>
  </si>
  <si>
    <t>74:11:0304002:20</t>
  </si>
  <si>
    <t>https://torgi.gov.ru/restricted/notification/notificationView.html?notificationId=5741445&amp;lotId=5755740&amp;prevPageN=9</t>
  </si>
  <si>
    <t>Кизильский р-н, 5 км на юго - запад от пос. Зингейский</t>
  </si>
  <si>
    <t>74:11:0304006:7</t>
  </si>
  <si>
    <t>https://torgi.gov.ru/restricted/notification/notificationView.html?notificationId=5741445&amp;lotId=5755867&amp;prevPageN=9</t>
  </si>
  <si>
    <t>Кизильский р-н, 7,2 км на северо-восток от пос. Зингейский</t>
  </si>
  <si>
    <t>74:11:0305006:3</t>
  </si>
  <si>
    <t>https://torgi.gov.ru/restricted/notification/notificationView.html?notificationId=5741445&amp;lotId=5755830&amp;prevPageN=9</t>
  </si>
  <si>
    <t>Кизильский р-н, 7,7 км на северо-восток от пос. Зингейский</t>
  </si>
  <si>
    <t>74:11:0305006:2</t>
  </si>
  <si>
    <t>https://torgi.gov.ru/restricted/notification/notificationView.html?notificationId=5741445&amp;lotId=5755880&amp;prevPageN=9</t>
  </si>
  <si>
    <t>Кизильский р-н, 8,7 км на северо-восток от пос. Зингейский</t>
  </si>
  <si>
    <t>74:11:0305006:6</t>
  </si>
  <si>
    <t>https://torgi.gov.ru/restricted/notification/notificationView.html?notificationId=5954365&amp;lotId=5954494&amp;prevPageN=9</t>
  </si>
  <si>
    <t>Пензенская обл</t>
  </si>
  <si>
    <t>Башмаковский р-н, Ивановка д, Садовая ул</t>
  </si>
  <si>
    <t>58:01:0100101:267</t>
  </si>
  <si>
    <t>https://torgi.gov.ru/restricted/notification/notificationView.html?notificationId=5957312&amp;lotId=5957447&amp;prevPageN=9</t>
  </si>
  <si>
    <t>Башкортостан Респ</t>
  </si>
  <si>
    <t>Бураевский р-н, Ванышевский с/с</t>
  </si>
  <si>
    <t>для возделывания сельскохозяйственных культур</t>
  </si>
  <si>
    <t>02:17:000000:536</t>
  </si>
  <si>
    <t>https://torgi.gov.ru/restricted/notification/notificationView.html?notificationId=5957312&amp;lotId=5957483&amp;prevPageN=9</t>
  </si>
  <si>
    <t>для сельскохозяйственной деятельности</t>
  </si>
  <si>
    <t>02:17:050801:6</t>
  </si>
  <si>
    <t>https://torgi.gov.ru/restricted/notification/notificationView.html?notificationId=5957312&amp;lotId=5957501&amp;prevPageN=9</t>
  </si>
  <si>
    <t>для овощеводства</t>
  </si>
  <si>
    <t>02:17:051001:28</t>
  </si>
  <si>
    <t>https://torgi.gov.ru/restricted/notification/notificationView.html?notificationId=5957312&amp;lotId=5957510&amp;prevPageN=9</t>
  </si>
  <si>
    <t>Бураевский р-н, Кашкалевский с/с</t>
  </si>
  <si>
    <t>02:17:081002:49</t>
  </si>
  <si>
    <t>https://torgi.gov.ru/restricted/notification/notificationView.html?notificationId=5957312&amp;lotId=5957547&amp;prevPageN=9</t>
  </si>
  <si>
    <t>02:17:081502:31</t>
  </si>
  <si>
    <t>https://torgi.gov.ru/restricted/notification/notificationView.html?notificationId=5957312&amp;lotId=5957559&amp;prevPageN=9</t>
  </si>
  <si>
    <t>02:17:000000:889</t>
  </si>
  <si>
    <t>https://torgi.gov.ru/restricted/notification/notificationView.html?notificationId=5957312&amp;lotId=5957603&amp;prevPageN=9</t>
  </si>
  <si>
    <t>Бураевский р-н, Азяковский с/с</t>
  </si>
  <si>
    <t>для организации крестьянского (фермерского) хозяйства</t>
  </si>
  <si>
    <t>02:17:011301:1</t>
  </si>
  <si>
    <t>https://torgi.gov.ru/restricted/notification/notificationView.html?notificationId=6665733&amp;lotId=6666975&amp;prevPageN=9</t>
  </si>
  <si>
    <t>07:02:3500000:117</t>
  </si>
  <si>
    <t>Зольский муниципальный район, 3,7 км на юг от слияния рек Малка и Шау-Кол</t>
  </si>
  <si>
    <t>для содержания сельскохозяйственных животных</t>
  </si>
  <si>
    <t xml:space="preserve"> 14.08.2014</t>
  </si>
  <si>
    <t xml:space="preserve"> 17.09.2014</t>
  </si>
  <si>
    <t>https://torgi.gov.ru/restricted/notification/notificationView.html?notificationId=5755702&amp;lotId=5755731&amp;prevPageN=9</t>
  </si>
  <si>
    <t>Новоаннинский р-н</t>
  </si>
  <si>
    <t>34:19:020006:155</t>
  </si>
  <si>
    <t xml:space="preserve"> 20.05.2014</t>
  </si>
  <si>
    <t>https://torgi.gov.ru/restricted/notification/notificationView.html?notificationId=5755827&amp;lotId=5755871&amp;prevPageN=9</t>
  </si>
  <si>
    <t>34:19:070007:157</t>
  </si>
  <si>
    <t xml:space="preserve"> 22.05.2014</t>
  </si>
  <si>
    <t>https://torgi.gov.ru/restricted/notification/notificationView.html?notificationId=5755827&amp;lotId=5755885&amp;prevPageN=9</t>
  </si>
  <si>
    <t>для сельскохозяйственного производства (выращивание зерновых, зернобобовых и масличных культур)</t>
  </si>
  <si>
    <t>34:19:070007:87</t>
  </si>
  <si>
    <t>https://torgi.gov.ru/restricted/notification/notificationView.html?notificationId=5755827&amp;lotId=5755896&amp;prevPageN=9</t>
  </si>
  <si>
    <t>34:19:070006:132</t>
  </si>
  <si>
    <t>https://torgi.gov.ru/restricted/notification/notificationView.html?notificationId=6426900&amp;lotId=6427196&amp;prevPageN=9</t>
  </si>
  <si>
    <t>Арсеньевский р-н, Дубрава д</t>
  </si>
  <si>
    <t>71:02:010401:102</t>
  </si>
  <si>
    <t>https://torgi.gov.ru/restricted/notification/notificationView.html?notificationId=6426900&amp;lotId=6427452&amp;prevPageN=9</t>
  </si>
  <si>
    <t xml:space="preserve">Арсеньевский р-н, Ясенки д </t>
  </si>
  <si>
    <t>71:02:010301:182</t>
  </si>
  <si>
    <t>https://torgi.gov.ru/restricted/notification/notificationView.html?notificationId=6426273&amp;lotId=6426366&amp;prevPageN=9</t>
  </si>
  <si>
    <t>Кувандыкский р-н</t>
  </si>
  <si>
    <t xml:space="preserve"> земли сельскохозяйственного назначения, пригодные под пашни</t>
  </si>
  <si>
    <t>56:15:0711017:34</t>
  </si>
  <si>
    <t>https://torgi.gov.ru/restricted/notification/notificationView.html?notificationId=6426273&amp;lotId=6426435&amp;prevPageN=9</t>
  </si>
  <si>
    <t>https://torgi.gov.ru/restricted/notification/notificationView.html?notificationId=7046145&amp;lotId=7046797&amp;prevPageN=3</t>
  </si>
  <si>
    <t>30:08:000000:634</t>
  </si>
  <si>
    <t xml:space="preserve"> 07.11.2014</t>
  </si>
  <si>
    <t>https://torgi.gov.ru/restricted/notification/notificationView.html?notificationId=7046145&amp;lotId=7046947&amp;prevPageN=3</t>
  </si>
  <si>
    <t>30:08:090301:211</t>
  </si>
  <si>
    <t>https://torgi.gov.ru/restricted/notification/notificationView.html?notificationId=7048013&amp;lotId=7048501&amp;prevPageN=3</t>
  </si>
  <si>
    <t>Урванский р-н, Нарткала г</t>
  </si>
  <si>
    <t>07:07:2200000:290</t>
  </si>
  <si>
    <t>https://torgi.gov.ru/restricted/notification/notificationView.html?notificationId=7063387&amp;lotId=7095324&amp;prevPageN=3</t>
  </si>
  <si>
    <t>Киреевский р-н, Орловка с</t>
  </si>
  <si>
    <t>71:12:040313:214</t>
  </si>
  <si>
    <t>https://torgi.gov.ru/restricted/notification/notificationView.html?notificationId=7063387&amp;lotId=7095360&amp;prevPageN=3</t>
  </si>
  <si>
    <t>71:12:040313:215</t>
  </si>
  <si>
    <t>https://torgi.gov.ru/restricted/notification/notificationView.html?notificationId=7063387&amp;lotId=7095386&amp;prevPageN=3</t>
  </si>
  <si>
    <t>71:12:040313:213</t>
  </si>
  <si>
    <t>https://torgi.gov.ru/restricted/notification/notificationView.html?notificationId=7063387&amp;lotId=7095422&amp;prevPageN=3</t>
  </si>
  <si>
    <t>71:12:040313:212</t>
  </si>
  <si>
    <t>https://torgi.gov.ru/restricted/notification/notificationView.html?notificationId=7063387&amp;lotId=7095471&amp;prevPageN=3</t>
  </si>
  <si>
    <t>71:12:040313:211</t>
  </si>
  <si>
    <t>https://torgi.gov.ru/restricted/notification/notificationView.html?notificationId=7063753&amp;lotId=7063989&amp;prevPageN=3</t>
  </si>
  <si>
    <t>68:07:2001003:1</t>
  </si>
  <si>
    <t>https://torgi.gov.ru/restricted/notification/notificationView.html?notificationId=7063753&amp;lotId=7064027&amp;prevPageN=3</t>
  </si>
  <si>
    <t>68:07:2001003:2</t>
  </si>
  <si>
    <t>https://torgi.gov.ru/restricted/notification/notificationView.html?notificationId=7063753&amp;lotId=7064049&amp;prevPageN=2</t>
  </si>
  <si>
    <t>68:07:2001003:3</t>
  </si>
  <si>
    <t>https://torgi.gov.ru/restricted/notification/notificationView.html?notificationId=7063753&amp;lotId=7064096&amp;prevPageN=2</t>
  </si>
  <si>
    <t>68:07:2001003:4</t>
  </si>
  <si>
    <t>https://torgi.gov.ru/restricted/notification/notificationView.html?notificationId=7063753&amp;lotId=7064170&amp;prevPageN=2</t>
  </si>
  <si>
    <t>68:07:2001003:5</t>
  </si>
  <si>
    <t>https://torgi.gov.ru/restricted/notification/notificationView.html?notificationId=7063753&amp;lotId=7064211&amp;prevPageN=2</t>
  </si>
  <si>
    <t>68:07:2001003:6</t>
  </si>
  <si>
    <t>https://torgi.gov.ru/restricted/notification/notificationView.html?notificationId=7063753&amp;lotId=7064227&amp;prevPageN=2</t>
  </si>
  <si>
    <t>68:07:2001003:7</t>
  </si>
  <si>
    <t>https://torgi.gov.ru/restricted/notification/notificationView.html?notificationId=7078719&amp;lotId=7078776&amp;prevPageN=2</t>
  </si>
  <si>
    <t>Тверская обл</t>
  </si>
  <si>
    <t>Калязинский р-н, Старобисловское с/п</t>
  </si>
  <si>
    <t>69:11:0000014:295</t>
  </si>
  <si>
    <t>https://torgi.gov.ru/restricted/notification/notificationView.html?notificationId=7078719&amp;lotId=7079839&amp;prevPageN=2</t>
  </si>
  <si>
    <t>69:11:0000014:309</t>
  </si>
  <si>
    <t>https://torgi.gov.ru/restricted/notification/notificationView.html?notificationId=7094847&amp;lotId=7095086&amp;prevPageN=2</t>
  </si>
  <si>
    <t>Прохладненский муниципальный район</t>
  </si>
  <si>
    <t>07:04:5700000:1/3</t>
  </si>
  <si>
    <t>https://torgi.gov.ru/restricted/notification/notificationView.html?notificationId=7338563&amp;lotId=7338798&amp;prevPageN=2</t>
  </si>
  <si>
    <t>Новоаннинский р-н, Черкесовский х</t>
  </si>
  <si>
    <t>для сельскохозяйственного производства.</t>
  </si>
  <si>
    <t>34:19:020006:499</t>
  </si>
  <si>
    <t xml:space="preserve"> 10.11.2014</t>
  </si>
  <si>
    <t xml:space="preserve"> 16.12.2014</t>
  </si>
  <si>
    <t>https://torgi.gov.ru/restricted/notification/notificationView.html?notificationId=7362600&amp;lotId=7362617&amp;prevPageN=2</t>
  </si>
  <si>
    <t>Козловский р-н</t>
  </si>
  <si>
    <t>21:12:010501:72</t>
  </si>
  <si>
    <t>https://torgi.gov.ru/restricted/notification/notificationView.html?notificationId=7113672&amp;lotId=7113682&amp;prevPageN=2</t>
  </si>
  <si>
    <t>Октябрьский район, вблизи х. Н-Бахмутовка</t>
  </si>
  <si>
    <t>для ведения крестьянского(фермерского) хозяйства</t>
  </si>
  <si>
    <t>61:28:0600005:40</t>
  </si>
  <si>
    <t>https://torgi.gov.ru/restricted/notification/notificationView.html?notificationId=7113672&amp;lotId=7113771&amp;prevPageN=2</t>
  </si>
  <si>
    <t>61:28:0502901:71</t>
  </si>
  <si>
    <t xml:space="preserve"> 13.11.2014</t>
  </si>
  <si>
    <t>https://torgi.gov.ru/restricted/notification/notificationView.html?notificationId=7113672&amp;lotId=7113822&amp;prevPageN=2</t>
  </si>
  <si>
    <t>61:28:0600013:696</t>
  </si>
  <si>
    <t xml:space="preserve"> 08.10.2014</t>
  </si>
  <si>
    <t>https://torgi.gov.ru/restricted/notification/notificationView.html?notificationId=7113672&amp;lotId=7114050&amp;prevPageN=2</t>
  </si>
  <si>
    <t>61:28:0600025:1368</t>
  </si>
  <si>
    <t>https://torgi.gov.ru/restricted/notification/notificationView.html?notificationId=7113672&amp;lotId=7114208&amp;prevPageN=2</t>
  </si>
  <si>
    <t>61:28:0020201:408</t>
  </si>
  <si>
    <t>https://torgi.gov.ru/restricted/notification/notificationView.html?notificationId=7113672&amp;lotId=7114293&amp;prevPageN=2</t>
  </si>
  <si>
    <t>61:28:0600011:1611</t>
  </si>
  <si>
    <t>https://torgi.gov.ru/restricted/notification/notificationView.html?notificationId=7113672&amp;lotId=7114351&amp;prevPageN=2</t>
  </si>
  <si>
    <t>для выращивания сельскохозяйственной продукции</t>
  </si>
  <si>
    <t>61:28:0600005:342</t>
  </si>
  <si>
    <t>https://torgi.gov.ru/restricted/notification/notificationView.html?notificationId=6884340&amp;lotId=6884853&amp;prevPageN=2</t>
  </si>
  <si>
    <t xml:space="preserve">Киреевский р-н, Мостовая </t>
  </si>
  <si>
    <t>71:12:040313:240</t>
  </si>
  <si>
    <t>https://torgi.gov.ru/restricted/notification/notificationView.html?notificationId=6884340&amp;lotId=6885032&amp;prevPageN=2</t>
  </si>
  <si>
    <t>71:12:040313:257</t>
  </si>
  <si>
    <t>https://torgi.gov.ru/restricted/notification/notificationView.html?notificationId=6882250&amp;lotId=6882315&amp;prevPageN=2</t>
  </si>
  <si>
    <t>Грайворонский район, с. Головчино</t>
  </si>
  <si>
    <t>31:13:1101016:256</t>
  </si>
  <si>
    <t>https://torgi.gov.ru/restricted/notification/notificationView.html?notificationId=7372497&amp;lotId=7385042&amp;prevPageN=2</t>
  </si>
  <si>
    <t>Кунгурский р-н</t>
  </si>
  <si>
    <t>для сельскохозяйственного использования (без права распашки и выпаса скота)</t>
  </si>
  <si>
    <t>59:24:3580102:1466</t>
  </si>
  <si>
    <t>https://torgi.gov.ru/restricted/notification/notificationView.html?notificationId=6894237&amp;lotId=6894580&amp;prevPageN=2</t>
  </si>
  <si>
    <t>Павловский р-н, Шувалов с</t>
  </si>
  <si>
    <t>36:20:6100008:33</t>
  </si>
  <si>
    <t>https://torgi.gov.ru/restricted/notification/notificationView.html?notificationId=6894237&amp;lotId=6894646&amp;prevPageN=2</t>
  </si>
  <si>
    <t>36:20:6100008:34</t>
  </si>
  <si>
    <t>https://torgi.gov.ru/restricted/notification/notificationView.html?notificationId=6894237&amp;lotId=6894683&amp;prevPageN=2</t>
  </si>
  <si>
    <t>36:20:6100008:35</t>
  </si>
  <si>
    <t>https://torgi.gov.ru/restricted/notification/notificationView.html?notificationId=6894237&amp;lotId=6894699&amp;prevPageN=2</t>
  </si>
  <si>
    <t>36:20:6100008:36</t>
  </si>
  <si>
    <t>https://torgi.gov.ru/restricted/notification/notificationView.html?notificationId=7143770&amp;lotId=7143796&amp;prevPageN=2</t>
  </si>
  <si>
    <t>Шемуршинский р-н, Малобуяновское с/п</t>
  </si>
  <si>
    <t>21:22:070301:232</t>
  </si>
  <si>
    <t>https://torgi.gov.ru/restricted/notification/notificationView.html?notificationId=7405138&amp;lotId=7405449&amp;prevPageN=2</t>
  </si>
  <si>
    <t>Для производства сельскозяйственной продукции</t>
  </si>
  <si>
    <t>20:03:6402000:1443</t>
  </si>
  <si>
    <t>https://torgi.gov.ru/restricted/notification/notificationView.html?notificationId=7405138&amp;lotId=7405530&amp;prevPageN=2</t>
  </si>
  <si>
    <t>20:03:6402000:1444</t>
  </si>
  <si>
    <t>https://torgi.gov.ru/restricted/notification/notificationView.html?notificationId=7399911&amp;lotId=7400279&amp;prevPageN=2</t>
  </si>
  <si>
    <t>Бураевский р-н, Бураевский с/с</t>
  </si>
  <si>
    <t>02:17:040602:41</t>
  </si>
  <si>
    <t>https://torgi.gov.ru/restricted/notification/notificationView.html?notificationId=7399911&amp;lotId=7400327&amp;prevPageN=2</t>
  </si>
  <si>
    <t>02:17:120601:26</t>
  </si>
  <si>
    <t>https://torgi.gov.ru/restricted/notification/notificationView.html?notificationId=7414536&amp;lotId=7416651&amp;prevPageN=2</t>
  </si>
  <si>
    <t>Алексеевский р-н, Становский х</t>
  </si>
  <si>
    <t>34:01:110007:91</t>
  </si>
  <si>
    <t>https://torgi.gov.ru/restricted/notification/notificationView.html?notificationId=7414536&amp;lotId=7416911&amp;prevPageN=2</t>
  </si>
  <si>
    <t>34:01:110007:90</t>
  </si>
  <si>
    <t>https://torgi.gov.ru/restricted/notification/notificationView.html?notificationId=7431879&amp;lotId=7431956&amp;prevPageN=2</t>
  </si>
  <si>
    <t>61:28:0000000:22578</t>
  </si>
  <si>
    <t>https://torgi.gov.ru/restricted/notification/notificationView.html?notificationId=7431879&amp;lotId=7432072&amp;prevPageN=2</t>
  </si>
  <si>
    <t>61:28:0600016:1248</t>
  </si>
  <si>
    <t>https://torgi.gov.ru/restricted/notification/notificationView.html?notificationId=7431879&amp;lotId=7432142&amp;prevPageN=2</t>
  </si>
  <si>
    <t>61:28:0600007:1063</t>
  </si>
  <si>
    <t>https://torgi.gov.ru/restricted/notification/notificationView.html?notificationId=6911558&amp;lotId=6911618&amp;prevPageN=2</t>
  </si>
  <si>
    <t>Нурлатский р-н</t>
  </si>
  <si>
    <t>16:32:200602:306</t>
  </si>
  <si>
    <t>https://torgi.gov.ru/restricted/notification/notificationView.html?notificationId=6912050&amp;lotId=6912459&amp;prevPageN=2</t>
  </si>
  <si>
    <t>Буздякский р-н</t>
  </si>
  <si>
    <t>Для возделывания сельскохозяйственных культур</t>
  </si>
  <si>
    <t>02:16:000000:2080</t>
  </si>
  <si>
    <t xml:space="preserve"> 24.10.2014</t>
  </si>
  <si>
    <t>https://torgi.gov.ru/restricted/notification/notificationView.html?notificationId=6912050&amp;lotId=6912534&amp;prevPageN=2</t>
  </si>
  <si>
    <t>02:16:000000:2086</t>
  </si>
  <si>
    <t>https://torgi.gov.ru/restricted/notification/notificationView.html?notificationId=7167255&amp;lotId=7167556&amp;prevPageN=2</t>
  </si>
  <si>
    <t>Шемуршинский район, Шемуршинское сельское поселение</t>
  </si>
  <si>
    <t>21:22:110101:134</t>
  </si>
  <si>
    <t>https://torgi.gov.ru/restricted/notification/notificationView.html?notificationId=6923680&amp;lotId=6923839&amp;prevPageN=2</t>
  </si>
  <si>
    <t>66:22:0104006:109</t>
  </si>
  <si>
    <t>https://torgi.gov.ru/restricted/notification/notificationView.html?notificationId=6925365&amp;lotId=6925452&amp;prevPageN=2</t>
  </si>
  <si>
    <t>66:22:0104006:110</t>
  </si>
  <si>
    <t>https://torgi.gov.ru/restricted/notification/notificationView.html?notificationId=6925597&amp;lotId=6925664&amp;prevPageN=2</t>
  </si>
  <si>
    <t>66:22:0104006:111</t>
  </si>
  <si>
    <t>https://torgi.gov.ru/restricted/notification/notificationView.html?notificationId=6925868&amp;lotId=6926026&amp;prevPageN=2</t>
  </si>
  <si>
    <t>66:22:0104006:112</t>
  </si>
  <si>
    <t>https://torgi.gov.ru/restricted/notification/notificationView.html?notificationId=7177126&amp;lotId=7177227&amp;prevPageN=2</t>
  </si>
  <si>
    <t>Павловский р-н, Данило х</t>
  </si>
  <si>
    <t>36:20:6100007:237</t>
  </si>
  <si>
    <t>https://torgi.gov.ru/restricted/notification/notificationView.html?notificationId=7177126&amp;lotId=7177288&amp;prevPageN=2</t>
  </si>
  <si>
    <t>36:20:6100007:238</t>
  </si>
  <si>
    <t>https://torgi.gov.ru/restricted/notification/notificationView.html?notificationId=6931129&amp;lotId=6931163&amp;prevPageN=2</t>
  </si>
  <si>
    <t>66:22:0104002:241</t>
  </si>
  <si>
    <t>https://torgi.gov.ru/restricted/notification/notificationView.html?notificationId=6931172&amp;lotId=6931206&amp;prevPageN=2</t>
  </si>
  <si>
    <t>66:22:0104002:242</t>
  </si>
  <si>
    <t>https://torgi.gov.ru/restricted/notification/notificationView.html?notificationId=7443356&amp;lotId=7443406&amp;prevPageN=2</t>
  </si>
  <si>
    <t>Приволжский р-н, Степняки п</t>
  </si>
  <si>
    <t>63:30:0000000:1657</t>
  </si>
  <si>
    <t>https://torgi.gov.ru/restricted/notification/notificationView.html?notificationId=6951555&amp;lotId=6952092&amp;prevPageN=2</t>
  </si>
  <si>
    <t>Сеченовский р-н</t>
  </si>
  <si>
    <t>52:48:0600020:583, 52:48:0600020:582, 52:48:0600020:581, 52:48:0600020:579, 52:48:0600020:578, 52:48:0600020:580, 52:48:0600020:584</t>
  </si>
  <si>
    <t>https://torgi.gov.ru/restricted/notification/notificationView.html?notificationId=6949029&amp;lotId=6949399&amp;prevPageN=2</t>
  </si>
  <si>
    <t>Урванский район, с.Кахун</t>
  </si>
  <si>
    <t>07:07:2500000:225</t>
  </si>
  <si>
    <t>https://torgi.gov.ru/restricted/notification/notificationView.html?notificationId=6949029&amp;lotId=6949485&amp;prevPageN=2</t>
  </si>
  <si>
    <t>07:07:2500000:226</t>
  </si>
  <si>
    <t>https://torgi.gov.ru/restricted/notification/notificationView.html?notificationId=7477698&amp;lotId=7477799&amp;prevPageN=2</t>
  </si>
  <si>
    <t>61:06:0600003:28</t>
  </si>
  <si>
    <t xml:space="preserve"> 23.12.2014</t>
  </si>
  <si>
    <t>https://torgi.gov.ru/restricted/notification/notificationView.html?notificationId=7479776&amp;lotId=7479864&amp;prevPageN=2</t>
  </si>
  <si>
    <t>Семилукский р-н</t>
  </si>
  <si>
    <t>36:28:8200014:88</t>
  </si>
  <si>
    <t>https://torgi.gov.ru/restricted/notification/notificationView.html?notificationId=7479776&amp;lotId=7479947&amp;prevPageN=2</t>
  </si>
  <si>
    <t>36:28:8200014:90</t>
  </si>
  <si>
    <t>https://torgi.gov.ru/restricted/notification/notificationView.html?notificationId=7479776&amp;lotId=7480041&amp;prevPageN=2</t>
  </si>
  <si>
    <t>36:28:8200014:87</t>
  </si>
  <si>
    <t>https://torgi.gov.ru/restricted/notification/notificationView.html?notificationId=7479776&amp;lotId=7480063&amp;prevPageN=2</t>
  </si>
  <si>
    <t>36:28:8400002:150</t>
  </si>
  <si>
    <t>https://torgi.gov.ru/restricted/notification/notificationView.html?notificationId=7207780&amp;lotId=7207790&amp;prevPageN=2</t>
  </si>
  <si>
    <t>Ужурский р-н, Солбатский п</t>
  </si>
  <si>
    <t>24:39:5402003:32</t>
  </si>
  <si>
    <t>https://torgi.gov.ru/restricted/notification/notificationView.html?notificationId=7207780&amp;lotId=7207804&amp;prevPageN=2</t>
  </si>
  <si>
    <t>24:39:5402003:30</t>
  </si>
  <si>
    <t>https://torgi.gov.ru/restricted/notification/notificationView.html?notificationId=7207780&amp;lotId=7207816&amp;prevPageN=2</t>
  </si>
  <si>
    <t>Ужурский р-н, Ильинка с</t>
  </si>
  <si>
    <t>24:39:5501001:458</t>
  </si>
  <si>
    <t xml:space="preserve"> 10.12.2014</t>
  </si>
  <si>
    <t>https://torgi.gov.ru/restricted/notification/notificationView.html?notificationId=7492030&amp;lotId=7492577&amp;prevPageN=2</t>
  </si>
  <si>
    <t>Одесский район</t>
  </si>
  <si>
    <t>55:18:110201:469</t>
  </si>
  <si>
    <t>https://torgi.gov.ru/restricted/notification/notificationView.html?notificationId=7492030&amp;lotId=7492836&amp;prevPageN=2</t>
  </si>
  <si>
    <t>55:18:110201:470</t>
  </si>
  <si>
    <t>https://torgi.gov.ru/restricted/notification/notificationView.html?notificationId=6970719&amp;lotId=6971000&amp;prevPageN=2</t>
  </si>
  <si>
    <t>Борский р-н</t>
  </si>
  <si>
    <t>63:16:1202001:1004</t>
  </si>
  <si>
    <t>https://torgi.gov.ru/restricted/notification/notificationView.html?notificationId=6970719&amp;lotId=6971132&amp;prevPageN=2</t>
  </si>
  <si>
    <t>63:16:1202002:1003</t>
  </si>
  <si>
    <t>https://torgi.gov.ru/restricted/notification/notificationView.html?notificationId=6970719&amp;lotId=6971232&amp;prevPageN=2</t>
  </si>
  <si>
    <t>63:16:0505001:1004</t>
  </si>
  <si>
    <t>https://torgi.gov.ru/restricted/notification/notificationView.html?notificationId=6970719&amp;lotId=6971334&amp;prevPageN=2</t>
  </si>
  <si>
    <t>63:16:0000000:57</t>
  </si>
  <si>
    <t>https://torgi.gov.ru/restricted/notification/notificationView.html?notificationId=7225873&amp;lotId=7225973&amp;prevPageN=2</t>
  </si>
  <si>
    <t>Краснооктябрьский р-н, Ендовищи с</t>
  </si>
  <si>
    <t>52:47:0300013:193</t>
  </si>
  <si>
    <t>https://torgi.gov.ru/restricted/notification/notificationView.html?notificationId=7220947&amp;lotId=7221016&amp;prevPageN=2</t>
  </si>
  <si>
    <t>Ивановская обл</t>
  </si>
  <si>
    <t>Южский р-н, Реброво д</t>
  </si>
  <si>
    <t>для сельскохозяйственных целей (разведение сельскохозяйственных животных)</t>
  </si>
  <si>
    <t>37:21:050220:133</t>
  </si>
  <si>
    <t>https://torgi.gov.ru/restricted/notification/notificationView.html?notificationId=7222211&amp;lotId=7222328&amp;prevPageN=2</t>
  </si>
  <si>
    <t>Южский р-н</t>
  </si>
  <si>
    <t>37:21:000000:390</t>
  </si>
  <si>
    <t>https://torgi.gov.ru/restricted/notification/notificationView.html?notificationId=6974658&amp;lotId=6974906&amp;prevPageN=2</t>
  </si>
  <si>
    <t>61:34:0600013:2067</t>
  </si>
  <si>
    <t xml:space="preserve"> 27.10.2014</t>
  </si>
  <si>
    <t>https://torgi.gov.ru/restricted/notification/notificationView.html?notificationId=6974658&amp;lotId=6974934&amp;prevPageN=2</t>
  </si>
  <si>
    <t>61:34:0600013:2068</t>
  </si>
  <si>
    <t>https://torgi.gov.ru/restricted/notification/notificationView.html?notificationId=6974658&amp;lotId=6974956&amp;prevPageN=2</t>
  </si>
  <si>
    <t>61:34:0600013:2069</t>
  </si>
  <si>
    <t>https://torgi.gov.ru/restricted/notification/notificationView.html?notificationId=6977269&amp;lotId=6977420&amp;prevPageN=2</t>
  </si>
  <si>
    <t>Шилкинский район,сельское поселение "Размахнинское"</t>
  </si>
  <si>
    <t>75:24:550101:199</t>
  </si>
  <si>
    <t>https://torgi.gov.ru/restricted/notification/notificationView.html?notificationId=6992791&amp;lotId=6993050&amp;prevPageN=2</t>
  </si>
  <si>
    <t>Шемуршинский р-н, Карабай-Шемуршинское с/п</t>
  </si>
  <si>
    <t>21:22:010101:485</t>
  </si>
  <si>
    <t>https://torgi.gov.ru/restricted/notification/notificationView.html?notificationId=6992791&amp;lotId=6993119&amp;prevPageN=2</t>
  </si>
  <si>
    <t>21:22:010101:483</t>
  </si>
  <si>
    <t>https://torgi.gov.ru/restricted/notification/notificationView.html?notificationId=6992791&amp;lotId=6993207&amp;prevPageN=2</t>
  </si>
  <si>
    <t>21:22:010101:484</t>
  </si>
  <si>
    <t>https://torgi.gov.ru/restricted/notification/notificationView.html?notificationId=6985625&amp;lotId=6986211&amp;prevPageN=2</t>
  </si>
  <si>
    <t>59:24:3730102:1508</t>
  </si>
  <si>
    <t>https://torgi.gov.ru/restricted/notification/notificationView.html?notificationId=6986387&amp;lotId=6986611&amp;prevPageN=2</t>
  </si>
  <si>
    <t>07:07:2500000:230</t>
  </si>
  <si>
    <t>https://torgi.gov.ru/restricted/notification/notificationView.html?notificationId=6986387&amp;lotId=6986797&amp;prevPageN=2</t>
  </si>
  <si>
    <t>07:07:2500000:231</t>
  </si>
  <si>
    <t>https://torgi.gov.ru/restricted/notification/notificationView.html?notificationId=6986387&amp;lotId=6986872&amp;prevPageN=2</t>
  </si>
  <si>
    <t>07:07:2500000:227</t>
  </si>
  <si>
    <t>https://torgi.gov.ru/restricted/notification/notificationView.html?notificationId=6986387&amp;lotId=6986928&amp;prevPageN=2</t>
  </si>
  <si>
    <t>07:07:2500000:228</t>
  </si>
  <si>
    <t>56:15:0711018:112</t>
  </si>
  <si>
    <t>https://torgi.gov.ru/restricted/notification/notificationView.html?notificationId=5975521&amp;lotId=5975763&amp;prevPageN=9</t>
  </si>
  <si>
    <t>Новониколаевский р-н, Алексиковский х</t>
  </si>
  <si>
    <t>34:20:040004:206</t>
  </si>
  <si>
    <t xml:space="preserve"> 24.06.2014</t>
  </si>
  <si>
    <t>https://torgi.gov.ru/restricted/notification/notificationView.html?notificationId=5105400&amp;lotId=5105431&amp;prevPageN=9</t>
  </si>
  <si>
    <t>Кемеровская обл</t>
  </si>
  <si>
    <t>Гурьевский р-н</t>
  </si>
  <si>
    <t>42:23:0201001:417</t>
  </si>
  <si>
    <t xml:space="preserve"> 17.01.2014 </t>
  </si>
  <si>
    <t>https://torgi.gov.ru/restricted/notification/notificationView.html?notificationId=5774021&amp;lotId=5774133&amp;prevPageN=9</t>
  </si>
  <si>
    <t>Петровский р-н, Константиновское с</t>
  </si>
  <si>
    <t>26:08:050601:40; 26:08:050203:76; 26:08:050203:75</t>
  </si>
  <si>
    <t xml:space="preserve"> 17.04.2014</t>
  </si>
  <si>
    <t xml:space="preserve"> 26.05.2014</t>
  </si>
  <si>
    <t>https://torgi.gov.ru/restricted/notification/notificationView.html?notificationId=5774314&amp;lotId=5774359&amp;prevPageN=9</t>
  </si>
  <si>
    <t>Петровский р-н, Донская Балка с</t>
  </si>
  <si>
    <t>26:08:060201:1</t>
  </si>
  <si>
    <t>https://torgi.gov.ru/restricted/notification/notificationView.html?notificationId=5774549&amp;lotId=5774609&amp;prevPageN=9</t>
  </si>
  <si>
    <t>26:08:020202:19</t>
  </si>
  <si>
    <t>https://torgi.gov.ru/restricted/notification/notificationView.html?notificationId=5771923&amp;lotId=5772003&amp;prevPageN=9</t>
  </si>
  <si>
    <t>Кормиловский район, Победительское сельское поселение</t>
  </si>
  <si>
    <t>Для ведения сельского хозяйства</t>
  </si>
  <si>
    <t>55:09:000000:0328</t>
  </si>
  <si>
    <t>https://torgi.gov.ru/restricted/notification/notificationView.html?notificationId=6445749&amp;lotId=6445821&amp;prevPageN=9</t>
  </si>
  <si>
    <t>Новгородский район, Подберезское сельское поселение</t>
  </si>
  <si>
    <t>53:11:0700402:861</t>
  </si>
  <si>
    <t>https://torgi.gov.ru/restricted/notification/notificationView.html?notificationId=5527774&amp;lotId=5528917&amp;prevPageN=9</t>
  </si>
  <si>
    <t>Усть-Лабинский р-н, Новоселовка х</t>
  </si>
  <si>
    <t>для развития животноводства</t>
  </si>
  <si>
    <t>23:35:1201001:10</t>
  </si>
  <si>
    <t xml:space="preserve"> 18.04.2014</t>
  </si>
  <si>
    <t>https://torgi.gov.ru/restricted/notification/notificationView.html?notificationId=5525932&amp;lotId=5525980&amp;prevPageN=9</t>
  </si>
  <si>
    <t>Тамбовская обл</t>
  </si>
  <si>
    <t>Мичуринский р-н</t>
  </si>
  <si>
    <t>68:07:0000000:1080</t>
  </si>
  <si>
    <t>Для сельскохозяйственного использования</t>
  </si>
  <si>
    <t>https://torgi.gov.ru/restricted/notification/notificationView.html?notificationId=5525932&amp;lotId=5526073&amp;prevPageN=9</t>
  </si>
  <si>
    <t>68:07:0000000:1083</t>
  </si>
  <si>
    <t>https://torgi.gov.ru/restricted/notification/notificationView.html?notificationId=5785169&amp;lotId=5785262&amp;prevPageN=9</t>
  </si>
  <si>
    <t>Майкопский р-н, Северо-Восточные Сады х</t>
  </si>
  <si>
    <t>Адыгея Респ</t>
  </si>
  <si>
    <t>01:04:5402001:749</t>
  </si>
  <si>
    <t>https://torgi.gov.ru/restricted/notification/notificationView.html?notificationId=6457273&amp;lotId=6457328&amp;prevPageN=9</t>
  </si>
  <si>
    <t>Смоленская обл</t>
  </si>
  <si>
    <t>Ельнинский р-н, Коситчено д</t>
  </si>
  <si>
    <t>67:08:1720101:87</t>
  </si>
  <si>
    <t>https://torgi.gov.ru/restricted/notification/notificationView.html?notificationId=5542606&amp;lotId=5542823&amp;prevPageN=9</t>
  </si>
  <si>
    <t>Красногвардейский р-н, Ладовская Балка с</t>
  </si>
  <si>
    <t>26:01:000000:270</t>
  </si>
  <si>
    <t xml:space="preserve"> 24.04.2014</t>
  </si>
  <si>
    <t>https://torgi.gov.ru/restricted/notification/notificationView.html?notificationId=5353158&amp;lotId=5353270&amp;prevPageN=9</t>
  </si>
  <si>
    <t>Климовский район, с. Бровничи</t>
  </si>
  <si>
    <t>32:12:0460201:2</t>
  </si>
  <si>
    <t>https://torgi.gov.ru/restricted/notification/notificationView.html?notificationId=6013697&amp;lotId=6015016&amp;prevPageN=9</t>
  </si>
  <si>
    <t>Курганская обл</t>
  </si>
  <si>
    <t>Далматовский р-н, Крутиха с, Трудовая ул</t>
  </si>
  <si>
    <t>45:04:031501:206</t>
  </si>
  <si>
    <t>https://torgi.gov.ru/restricted/notification/notificationView.html?notificationId=6015053&amp;lotId=6015157&amp;prevPageN=9</t>
  </si>
  <si>
    <t>Петровский р-н, Сухая Буйвола с</t>
  </si>
  <si>
    <t>26:08:071702:13</t>
  </si>
  <si>
    <t>https://torgi.gov.ru/restricted/notification/notificationView.html?notificationId=6015830&amp;lotId=6015906&amp;prevPageN=9</t>
  </si>
  <si>
    <t>26:08:000000:372</t>
  </si>
  <si>
    <t>https://torgi.gov.ru/restricted/notification/notificationView.html?notificationId=6466051&amp;lotId=6466126&amp;prevPageN=9</t>
  </si>
  <si>
    <t>Гурьевский р-н, Каменка п</t>
  </si>
  <si>
    <t>39:03:091106:253</t>
  </si>
  <si>
    <t xml:space="preserve"> 25.07.2014</t>
  </si>
  <si>
    <t xml:space="preserve"> 26.08.2014</t>
  </si>
  <si>
    <t>https://torgi.gov.ru/restricted/notification/notificationView.html?notificationId=6466186&amp;lotId=6466195&amp;prevPageN=9</t>
  </si>
  <si>
    <t>для селскохозяйственного использования</t>
  </si>
  <si>
    <t>39:03:091106:254</t>
  </si>
  <si>
    <t>https://torgi.gov.ru/restricted/notification/notificationView.html?notificationId=5142470&amp;lotId=5142547&amp;prevPageN=9</t>
  </si>
  <si>
    <t>Шемуршинский р-н, Старочукальское с/п</t>
  </si>
  <si>
    <t>21:22:150101:687</t>
  </si>
  <si>
    <t>https://torgi.gov.ru/restricted/notification/notificationView.html?notificationId=5138617&amp;lotId=5138711&amp;prevPageN=9</t>
  </si>
  <si>
    <t>Забайкальский край</t>
  </si>
  <si>
    <t>Читинский р-н</t>
  </si>
  <si>
    <t>75:22:821201:920</t>
  </si>
  <si>
    <t xml:space="preserve"> 22.01.2014</t>
  </si>
  <si>
    <t xml:space="preserve"> 28.02.2014</t>
  </si>
  <si>
    <t xml:space="preserve"> 29.05.2014</t>
  </si>
  <si>
    <t>https://torgi.gov.ru/restricted/notification/notificationView.html?notificationId=5812882&amp;lotId=5813009&amp;prevPageN=9</t>
  </si>
  <si>
    <t>Октябрьский р-н</t>
  </si>
  <si>
    <t>пашни, сенокосы, пастбища, сады, виноградники и т.д.</t>
  </si>
  <si>
    <t>61:28:0600018:215</t>
  </si>
  <si>
    <t>https://torgi.gov.ru/restricted/notification/notificationView.html?notificationId=5812882&amp;lotId=5813053&amp;prevPageN=9</t>
  </si>
  <si>
    <t>Для выращивания сельскохозяйственной продукции</t>
  </si>
  <si>
    <t>61:28:0020201:153</t>
  </si>
  <si>
    <t>https://torgi.gov.ru/restricted/notification/notificationView.html?notificationId=5812882&amp;lotId=5813133&amp;prevPageN=9</t>
  </si>
  <si>
    <t>земли сельскохозяйственного использования</t>
  </si>
  <si>
    <t>61:28:0600003:120</t>
  </si>
  <si>
    <t>https://torgi.gov.ru/restricted/notification/notificationView.html?notificationId=5811519&amp;lotId=5811702&amp;prevPageN=9</t>
  </si>
  <si>
    <t>Оренбургский р-н, Нежинка с</t>
  </si>
  <si>
    <t>56:21:1406007:4</t>
  </si>
  <si>
    <t>https://torgi.gov.ru/restricted/notification/notificationView.html?notificationId=5811519&amp;lotId=5812594&amp;prevPageN=9</t>
  </si>
  <si>
    <t>56:21:1407003:7</t>
  </si>
  <si>
    <t>https://torgi.gov.ru/restricted/notification/notificationView.html?notificationId=5811519&amp;lotId=5812910&amp;prevPageN=9</t>
  </si>
  <si>
    <t>56:21:1407001:2</t>
  </si>
  <si>
    <t>https://torgi.gov.ru/restricted/notification/notificationView.html?notificationId=5811519&amp;lotId=5813012&amp;prevPageN=9</t>
  </si>
  <si>
    <t>56:21:1408005:5</t>
  </si>
  <si>
    <t>https://torgi.gov.ru/restricted/notification/notificationView.html?notificationId=5811519&amp;lotId=5813114&amp;prevPageN=9</t>
  </si>
  <si>
    <t>56:21:0000000:14313</t>
  </si>
  <si>
    <t>https://torgi.gov.ru/restricted/notification/notificationView.html?notificationId=5811519&amp;lotId=5813185&amp;prevPageN=9</t>
  </si>
  <si>
    <t>56:21:1408006:10</t>
  </si>
  <si>
    <t>https://torgi.gov.ru/restricted/notification/notificationView.html?notificationId=5811519&amp;lotId=5823383&amp;prevPageN=9</t>
  </si>
  <si>
    <t>56:21:1407005:29</t>
  </si>
  <si>
    <t>https://torgi.gov.ru/restricted/notification/notificationView.html?notificationId=5811519&amp;lotId=5823444&amp;prevPageN=9</t>
  </si>
  <si>
    <t>56:21:1407006:10</t>
  </si>
  <si>
    <t>https://torgi.gov.ru/restricted/notification/notificationView.html?notificationId=5811519&amp;lotId=5823667&amp;prevPageN=9</t>
  </si>
  <si>
    <t>56:21:1407002:4</t>
  </si>
  <si>
    <t>https://torgi.gov.ru/restricted/notification/notificationView.html?notificationId=5811519&amp;lotId=5823881&amp;prevPageN=9</t>
  </si>
  <si>
    <t>56:21:1408003:3</t>
  </si>
  <si>
    <t>https://torgi.gov.ru/restricted/notification/notificationView.html?notificationId=5811519&amp;lotId=5823980&amp;prevPageN=9</t>
  </si>
  <si>
    <t>56:21:1408004:4</t>
  </si>
  <si>
    <t>https://torgi.gov.ru/restricted/notification/notificationView.html?notificationId=5811519&amp;lotId=5824120&amp;prevPageN=9</t>
  </si>
  <si>
    <t>56:21:1407003:6</t>
  </si>
  <si>
    <t>https://torgi.gov.ru/restricted/notification/notificationView.html?notificationId=5811519&amp;lotId=5824394&amp;prevPageN=9</t>
  </si>
  <si>
    <t>56:21:1408002:2</t>
  </si>
  <si>
    <t>https://torgi.gov.ru/restricted/notification/notificationView.html?notificationId=5811519&amp;lotId=5824452&amp;prevPageN=9</t>
  </si>
  <si>
    <t>56:21:1408001:8</t>
  </si>
  <si>
    <t>https://torgi.gov.ru/restricted/notification/notificationView.html?notificationId=5807458&amp;lotId=5807540&amp;prevPageN=9</t>
  </si>
  <si>
    <t>55:09:030601:303</t>
  </si>
  <si>
    <t>https://torgi.gov.ru/restricted/notification/notificationView.html?notificationId=6482591&amp;lotId=6482676&amp;prevPageN=9</t>
  </si>
  <si>
    <t>Астраханская обл</t>
  </si>
  <si>
    <t>Наримановский р-н</t>
  </si>
  <si>
    <t>30:08:090908:23</t>
  </si>
  <si>
    <t xml:space="preserve"> 27.08.2014</t>
  </si>
  <si>
    <t>https://torgi.gov.ru/restricted/notification/notificationView.html?notificationId=5819317&amp;lotId=5819646&amp;prevPageN=9</t>
  </si>
  <si>
    <t>Костромская обл</t>
  </si>
  <si>
    <t>Костромской р-н, Бакшеевское сельское поселение</t>
  </si>
  <si>
    <t>44:07:023601:29</t>
  </si>
  <si>
    <t>Приволжский ФО</t>
  </si>
  <si>
    <t>Центральный ФО</t>
  </si>
  <si>
    <t>Сибирский ФО</t>
  </si>
  <si>
    <t>Уральский ФО</t>
  </si>
  <si>
    <t>https://torgi.gov.ru/restricted/notification/notificationView.html?notificationId=5819317&amp;lotId=5820255&amp;prevPageN=9</t>
  </si>
  <si>
    <t>44:07:000000:575</t>
  </si>
  <si>
    <t>https://torgi.gov.ru/restricted/notification/notificationView.html?notificationId=5819317&amp;lotId=5820337&amp;prevPageN=9</t>
  </si>
  <si>
    <t>44:07:023601:799</t>
  </si>
  <si>
    <t>https://torgi.gov.ru/restricted/notification/notificationView.html?notificationId=5819317&amp;lotId=5820450&amp;prevPageN=9</t>
  </si>
  <si>
    <t>44:07:023601:798</t>
  </si>
  <si>
    <t>https://torgi.gov.ru/restricted/notification/notificationView.html?notificationId=5819317&amp;lotId=5820704&amp;prevPageN=9</t>
  </si>
  <si>
    <t>44:07:000000:573</t>
  </si>
  <si>
    <t>https://torgi.gov.ru/restricted/notification/notificationView.html?notificationId=5819317&amp;lotId=5821526&amp;prevPageN=9</t>
  </si>
  <si>
    <t>44:07:023601:800</t>
  </si>
  <si>
    <t>https://torgi.gov.ru/restricted/notification/notificationView.html?notificationId=6039714&amp;lotId=6039769&amp;prevPageN=9</t>
  </si>
  <si>
    <t>Саратовская обл</t>
  </si>
  <si>
    <t>Марксовский район, Кировское муниципальное образование</t>
  </si>
  <si>
    <t>64:20:032901:453</t>
  </si>
  <si>
    <t>https://torgi.gov.ru/restricted/notification/notificationView.html?notificationId=6039714&amp;lotId=6039792&amp;prevPageN=9</t>
  </si>
  <si>
    <t>Марксовский район, Приволжское муниципальное образование</t>
  </si>
  <si>
    <t>64:20:021401:198</t>
  </si>
  <si>
    <t>Татарстан Респ</t>
  </si>
  <si>
    <t>Рыбно-Слободский р-н, Кутлу-Букаш с</t>
  </si>
  <si>
    <t>https://torgi.gov.ru/restricted/notification/notificationView.html?notificationId=5162509&amp;lotId=5162497&amp;prevPageN=9</t>
  </si>
  <si>
    <t>16:34:000000:299</t>
  </si>
  <si>
    <t>https://torgi.gov.ru/restricted/notification/notificationView.html?notificationId=5162509&amp;lotId=5162519&amp;prevPageN=9</t>
  </si>
  <si>
    <t>16:34:130502:1</t>
  </si>
  <si>
    <t>https://torgi.gov.ru/restricted/notification/notificationView.html?notificationId=5586982&amp;lotId=5587205&amp;prevPageN=9</t>
  </si>
  <si>
    <t>Погарский р-н</t>
  </si>
  <si>
    <t>32:19:0390203:15</t>
  </si>
  <si>
    <t>https://torgi.gov.ru/restricted/notification/notificationView.html?notificationId=5832516&amp;lotId=5832798&amp;prevPageN=9</t>
  </si>
  <si>
    <t>21:06:000000:1515</t>
  </si>
  <si>
    <t>https://torgi.gov.ru/restricted/notification/notificationView.html?notificationId=5832516&amp;lotId=5832899&amp;prevPageN=9</t>
  </si>
  <si>
    <t>21:06:180401:5</t>
  </si>
  <si>
    <t>https://torgi.gov.ru/restricted/notification/notificationView.html?notificationId=5832516&amp;lotId=5833049&amp;prevPageN=9</t>
  </si>
  <si>
    <t>21:06:180101:40</t>
  </si>
  <si>
    <t>https://torgi.gov.ru/restricted/notification/notificationView.html?notificationId=5832516&amp;lotId=5833200&amp;prevPageN=9</t>
  </si>
  <si>
    <t>Алатырский район, Ахматовское</t>
  </si>
  <si>
    <t>21:06:180401:6</t>
  </si>
  <si>
    <t>https://torgi.gov.ru/restricted/notification/notificationView.html?notificationId=5832516&amp;lotId=5833334&amp;prevPageN=9</t>
  </si>
  <si>
    <t>21:06:190101:154</t>
  </si>
  <si>
    <t>https://torgi.gov.ru/restricted/notification/notificationView.html?notificationId=5832516&amp;lotId=5833411&amp;prevPageN=9</t>
  </si>
  <si>
    <t>Алатырский район, Чуварлейское сельское поселение</t>
  </si>
  <si>
    <t>21:06:150301:256</t>
  </si>
  <si>
    <t>https://torgi.gov.ru/restricted/notification/notificationView.html?notificationId=5832516&amp;lotId=5833487&amp;prevPageN=9</t>
  </si>
  <si>
    <t>21:06:000000:1516</t>
  </si>
  <si>
    <t>https://torgi.gov.ru/restricted/notification/notificationView.html?notificationId=6265663&amp;lotId=6265939&amp;prevPageN=9</t>
  </si>
  <si>
    <t>Пролетарский р-н, Буденновская ст-ца</t>
  </si>
  <si>
    <t>61:31:0600008:1261</t>
  </si>
  <si>
    <t>https://torgi.gov.ru/restricted/notification/notificationView.html?notificationId=6501850&amp;lotId=6501951&amp;prevPageN=9</t>
  </si>
  <si>
    <t>24:42:0301003:586</t>
  </si>
  <si>
    <t>https://torgi.gov.ru/restricted/notification/notificationView.html?notificationId=6501850&amp;lotId=6501984&amp;prevPageN=9</t>
  </si>
  <si>
    <t>24:42:0301003:583</t>
  </si>
  <si>
    <t>https://torgi.gov.ru/restricted/notification/notificationView.html?notificationId=5378522&amp;lotId=5378714&amp;prevPageN=9</t>
  </si>
  <si>
    <t>26:08:080302:7; 26:08:080302:8</t>
  </si>
  <si>
    <t xml:space="preserve"> 31.03.2014</t>
  </si>
  <si>
    <t>https://torgi.gov.ru/restricted/notification/notificationView.html?notificationId=5379840&amp;lotId=5379942&amp;prevPageN=9</t>
  </si>
  <si>
    <t>26:08:090201:31; 26:08:090201:30</t>
  </si>
  <si>
    <t>https://torgi.gov.ru/restricted/notification/notificationView.html?notificationId=5380285&amp;lotId=5380412&amp;prevPageN=9</t>
  </si>
  <si>
    <t>Петровский р-н, Просянка с</t>
  </si>
  <si>
    <t>26:08:061302:5</t>
  </si>
  <si>
    <t>https://torgi.gov.ru/restricted/notification/notificationView.html?notificationId=5379245&amp;lotId=5379524&amp;prevPageN=9</t>
  </si>
  <si>
    <t>Ростовская область, Песчанокопский район, вблизи с.Песчанокопского</t>
  </si>
  <si>
    <t xml:space="preserve"> для сельскохозяйственного производства</t>
  </si>
  <si>
    <t>61:30:0600005:120</t>
  </si>
  <si>
    <t>https://torgi.gov.ru/restricted/notification/notificationView.html?notificationId=5379245&amp;lotId=5379595&amp;prevPageN=9</t>
  </si>
  <si>
    <t>61:30:0600004:3227</t>
  </si>
  <si>
    <t>https://torgi.gov.ru/restricted/notification/notificationView.html?notificationId=5379245&amp;lotId=5380617&amp;prevPageN=9</t>
  </si>
  <si>
    <t>61:30:0600004:3118</t>
  </si>
  <si>
    <t>https://torgi.gov.ru/restricted/notification/notificationView.html?notificationId=5591631&amp;lotId=5591813&amp;prevPageN=9</t>
  </si>
  <si>
    <t>Горьковский р-н, Дубровка д, Центральная ул</t>
  </si>
  <si>
    <t>55:04:000000:2391</t>
  </si>
  <si>
    <t xml:space="preserve"> 29.04.2014</t>
  </si>
  <si>
    <t>https://torgi.gov.ru/restricted/notification/notificationView.html?notificationId=5591631&amp;lotId=5592194&amp;prevPageN=9</t>
  </si>
  <si>
    <t>55:04:070706:152</t>
  </si>
  <si>
    <t xml:space="preserve"> 27.03.2014</t>
  </si>
  <si>
    <t>https://torgi.gov.ru/restricted/notification/notificationView.html?notificationId=5591631&amp;lotId=5593513&amp;prevPageN=9</t>
  </si>
  <si>
    <t>55:04:070706:153</t>
  </si>
  <si>
    <t>https://torgi.gov.ru/restricted/notification/notificationView.html?notificationId=5591631&amp;lotId=5593978&amp;prevPageN=9</t>
  </si>
  <si>
    <t xml:space="preserve">Горьковский р-н, Крупянка д, Центральная ул </t>
  </si>
  <si>
    <t>55:04:070706:159</t>
  </si>
  <si>
    <t>https://torgi.gov.ru/restricted/notification/notificationView.html?notificationId=5591631&amp;lotId=5594054&amp;prevPageN=9</t>
  </si>
  <si>
    <t>Горьковский р-н, Крутиха д, Центральная ул</t>
  </si>
  <si>
    <t>55:04:070702:144</t>
  </si>
  <si>
    <t>https://torgi.gov.ru/restricted/notification/notificationView.html?notificationId=5591631&amp;lotId=5594386&amp;prevPageN=9</t>
  </si>
  <si>
    <t>Горьковский р-н, Новооболонь д, Зеленая ул</t>
  </si>
  <si>
    <t>55:04:070706:156</t>
  </si>
  <si>
    <t>https://torgi.gov.ru/restricted/notification/notificationView.html?notificationId=6043439&amp;lotId=6043547&amp;prevPageN=9</t>
  </si>
  <si>
    <t>Башмаковский р-н, Подгорнский с/с</t>
  </si>
  <si>
    <t>58:01:0080102:88</t>
  </si>
  <si>
    <t>https://torgi.gov.ru/restricted/notification/notificationView.html?notificationId=6043439&amp;lotId=6043578&amp;prevPageN=9</t>
  </si>
  <si>
    <t>Башмаковский р-н, Соломинский с/с</t>
  </si>
  <si>
    <t>58:01:0080201:48</t>
  </si>
  <si>
    <t>https://torgi.gov.ru/restricted/notification/notificationView.html?notificationId=6043439&amp;lotId=6043586&amp;prevPageN=9</t>
  </si>
  <si>
    <t>58:01:0080201:46</t>
  </si>
  <si>
    <t>https://torgi.gov.ru/restricted/notification/notificationView.html?notificationId=5165107&amp;lotId=5165162&amp;prevPageN=9</t>
  </si>
  <si>
    <t>Приволжский р-н, в границах КСХП "Приморье"</t>
  </si>
  <si>
    <t>63:30:0601037:13</t>
  </si>
  <si>
    <t>https://torgi.gov.ru/restricted/notification/notificationView.html?notificationId=5165107&amp;lotId=5165207&amp;prevPageN=9</t>
  </si>
  <si>
    <t>Самарская обл, Приволжский р-н, в границах КСХП "Приморье"</t>
  </si>
  <si>
    <t>63:30:0601037:14</t>
  </si>
  <si>
    <t>https://torgi.gov.ru/restricted/notification/notificationView.html?notificationId=5603047&amp;lotId=5603321&amp;prevPageN=9</t>
  </si>
  <si>
    <t>Ростовская обл, Веселовский р-н</t>
  </si>
  <si>
    <t>61:06:0600001:72</t>
  </si>
  <si>
    <t>https://torgi.gov.ru/restricted/notification/notificationView.html?notificationId=5603078&amp;lotId=5603181&amp;prevPageN=9</t>
  </si>
  <si>
    <t>24:01:1201007:73</t>
  </si>
  <si>
    <t xml:space="preserve"> 30.04.2014</t>
  </si>
  <si>
    <t>https://torgi.gov.ru/restricted/notification/notificationView.html?notificationId=6286069&amp;lotId=6286184&amp;prevPageN=9</t>
  </si>
  <si>
    <t>61:28:0600012:318</t>
  </si>
  <si>
    <t>https://torgi.gov.ru/restricted/notification/notificationView.html?notificationId=6286069&amp;lotId=6286270&amp;prevPageN=9</t>
  </si>
  <si>
    <t>для сельскохозяйственной продукции</t>
  </si>
  <si>
    <t>61:28:0600012:322</t>
  </si>
  <si>
    <t>https://torgi.gov.ru/restricted/notification/notificationView.html?notificationId=6286069&amp;lotId=6286588&amp;prevPageN=9</t>
  </si>
  <si>
    <t>61:28:0600013:679</t>
  </si>
  <si>
    <t>https://torgi.gov.ru/restricted/notification/notificationView.html?notificationId=6286069&amp;lotId=6286607&amp;prevPageN=9</t>
  </si>
  <si>
    <t>61:28:0600013:677</t>
  </si>
  <si>
    <t>https://torgi.gov.ru/restricted/notification/notificationView.html?notificationId=6286069&amp;lotId=6286994&amp;prevPageN=9</t>
  </si>
  <si>
    <t>для сельхозпроизводства</t>
  </si>
  <si>
    <t>61:28:0600025:1366</t>
  </si>
  <si>
    <t>https://torgi.gov.ru/restricted/notification/notificationView.html?notificationId=6286069&amp;lotId=6287265&amp;prevPageN=9</t>
  </si>
  <si>
    <t>Октябрьский район, Красюковское сельское поселение</t>
  </si>
  <si>
    <t>61:28:0600013:687</t>
  </si>
  <si>
    <t>https://torgi.gov.ru/restricted/notification/notificationView.html?notificationId=6290321&amp;lotId=6290477&amp;prevPageN=9</t>
  </si>
  <si>
    <t>Глушковский р-н, Сухиновский с/с</t>
  </si>
  <si>
    <t>46:03:160503:7</t>
  </si>
  <si>
    <t>Дальневосточный ФО</t>
  </si>
  <si>
    <t>https://torgi.gov.ru/restricted/notification/notificationView.html?notificationId=6285952&amp;lotId=6286109&amp;prevPageN=9</t>
  </si>
  <si>
    <t>Приморский край</t>
  </si>
  <si>
    <t>Уссурийский р-н, Глуховка с, Октябрьская ул</t>
  </si>
  <si>
    <t>25:18:000000:229</t>
  </si>
  <si>
    <t xml:space="preserve"> 27.06.2014</t>
  </si>
  <si>
    <t xml:space="preserve"> 29.07.2014</t>
  </si>
  <si>
    <t>https://torgi.gov.ru/restricted/notification/notificationView.html?notificationId=5402032&amp;lotId=5402055&amp;prevPageN=9</t>
  </si>
  <si>
    <t>71:06:040201:102</t>
  </si>
  <si>
    <t>https://torgi.gov.ru/restricted/notification/notificationView.html?notificationId=5617162&amp;lotId=5617178&amp;prevPageN=9</t>
  </si>
  <si>
    <t>Воронежская область, Семилукский район, Девицкое сельское поселение</t>
  </si>
  <si>
    <t>36:28:8400012:249</t>
  </si>
  <si>
    <t>https://torgi.gov.ru/restricted/notification/notificationView.html?notificationId=5844158&amp;lotId=5845581&amp;prevPageN=9</t>
  </si>
  <si>
    <t>Ульяновская обл</t>
  </si>
  <si>
    <t>73:18:031901:572</t>
  </si>
  <si>
    <t>https://torgi.gov.ru/restricted/notification/notificationView.html?notificationId=5844158&amp;lotId=5846587&amp;prevPageN=9</t>
  </si>
  <si>
    <t>Тереньгульский район, с. Большая Борла</t>
  </si>
  <si>
    <t>Тереньгульский р-н, Большая Борла с</t>
  </si>
  <si>
    <t>73:18:031901:579</t>
  </si>
  <si>
    <t>https://torgi.gov.ru/restricted/notification/notificationView.html?notificationId=5844158&amp;lotId=5847871&amp;prevPageN=9</t>
  </si>
  <si>
    <t>Тереньгульский р-н, Белогорское с</t>
  </si>
  <si>
    <t>73:18:031501:251</t>
  </si>
  <si>
    <t>https://torgi.gov.ru/restricted/notification/notificationView.html?notificationId=5844158&amp;lotId=5847936&amp;prevPageN=9</t>
  </si>
  <si>
    <t>73:18:031501:252</t>
  </si>
  <si>
    <t>https://torgi.gov.ru/restricted/notification/notificationView.html?notificationId=5844158&amp;lotId=5848148&amp;prevPageN=9</t>
  </si>
  <si>
    <t>73:18:031501:255</t>
  </si>
  <si>
    <t>https://torgi.gov.ru/restricted/notification/notificationView.html?notificationId=5844158&amp;lotId=5848313&amp;prevPageN=9</t>
  </si>
  <si>
    <t>73:18:031901:587</t>
  </si>
  <si>
    <t>https://torgi.gov.ru/restricted/notification/notificationView.html?notificationId=5845635&amp;lotId=5845772&amp;prevPageN=9</t>
  </si>
  <si>
    <t>для сельскохозяйственного производства, целевое назначение - для развития животноводства</t>
  </si>
  <si>
    <t>Шелаболихинский район, территория Шелаболихинского сельсовет</t>
  </si>
  <si>
    <t>22:59:070104:1114</t>
  </si>
  <si>
    <t xml:space="preserve"> 28.04.2014 </t>
  </si>
  <si>
    <t xml:space="preserve"> 30.05.2014</t>
  </si>
  <si>
    <t>https://torgi.gov.ru/restricted/notification/notificationView.html?notificationId=5845635&amp;lotId=5845813&amp;prevPageN=9</t>
  </si>
  <si>
    <t>22:59:070104:1108</t>
  </si>
  <si>
    <t>https://torgi.gov.ru/restricted/notification/notificationView.html?notificationId=5188980&amp;lotId=5190385&amp;prevPageN=9</t>
  </si>
  <si>
    <t>Костромской р-н, Бакшеевское сельское поселен</t>
  </si>
  <si>
    <t>44:07:023601:797</t>
  </si>
  <si>
    <t>https://torgi.gov.ru/restricted/notification/notificationView.html?notificationId=5188980&amp;lotId=5190409&amp;prevPageN=9</t>
  </si>
  <si>
    <t>44:07:023601:796</t>
  </si>
  <si>
    <t>https://torgi.gov.ru/restricted/notification/notificationView.html?notificationId=5188980&amp;lotId=5190416&amp;prevPageN=9</t>
  </si>
  <si>
    <t>44:07:023601:795</t>
  </si>
  <si>
    <t>https://torgi.gov.ru/restricted/notification/notificationView.html?notificationId=5189461&amp;lotId=5189621&amp;prevPageN=9</t>
  </si>
  <si>
    <t>Веселовский р-н, Веселый п, Донская ул</t>
  </si>
  <si>
    <t>61:06:0010137:142</t>
  </si>
  <si>
    <t xml:space="preserve"> 04.03.2014</t>
  </si>
  <si>
    <t>https://torgi.gov.ru/restricted/notification/notificationView.html?notificationId=5188970&amp;lotId=5189288&amp;prevPageN=9</t>
  </si>
  <si>
    <t>Новониколаевский р-н, Новокардаильский х</t>
  </si>
  <si>
    <t>34:20:070005:1569</t>
  </si>
  <si>
    <t>https://torgi.gov.ru/restricted/notification/notificationView.html?notificationId=5188970&amp;lotId=5189395&amp;prevPageN=9</t>
  </si>
  <si>
    <t>34:20:070005:1565</t>
  </si>
  <si>
    <t>https://torgi.gov.ru/restricted/notification/notificationView.html?notificationId=5188970&amp;lotId=5189494&amp;prevPageN=9</t>
  </si>
  <si>
    <t>34:20:070005:1566</t>
  </si>
  <si>
    <t>https://torgi.gov.ru/restricted/notification/notificationView.html?notificationId=6076188&amp;lotId=6076411&amp;prevPageN=9</t>
  </si>
  <si>
    <t>Вадинский р-н, Каменка д</t>
  </si>
  <si>
    <t>Для ведения сельскохозяйственного производства</t>
  </si>
  <si>
    <t>58:06:0600201:63</t>
  </si>
  <si>
    <t>https://torgi.gov.ru/restricted/notification/notificationView.html?notificationId=6523622&amp;lotId=6523650&amp;prevPageN=9</t>
  </si>
  <si>
    <t>Воловский р-н, Сухие Плоты д</t>
  </si>
  <si>
    <t>71:06:030101:191</t>
  </si>
  <si>
    <t>https://torgi.gov.ru/restricted/notification/notificationView.html?notificationId=6523622&amp;lotId=6523681&amp;prevPageN=9</t>
  </si>
  <si>
    <t>71:06:030101:192</t>
  </si>
  <si>
    <t>https://torgi.gov.ru/restricted/notification/notificationView.html?notificationId=6523622&amp;lotId=6523705&amp;prevPageN=9</t>
  </si>
  <si>
    <t>71:06:030101:193</t>
  </si>
  <si>
    <t>https://torgi.gov.ru/restricted/notification/notificationView.html?notificationId=6523622&amp;lotId=6523737&amp;prevPageN=9</t>
  </si>
  <si>
    <t>Воловский р-н, Истленьево с</t>
  </si>
  <si>
    <t>71:06:010201:179</t>
  </si>
  <si>
    <t>https://torgi.gov.ru/restricted/notification/notificationView.html?notificationId=6532201&amp;lotId=6532628&amp;prevPageN=9</t>
  </si>
  <si>
    <t>Сальский р-н, Березовка с</t>
  </si>
  <si>
    <t>61:34:0600016:125</t>
  </si>
  <si>
    <t xml:space="preserve"> 05.09.2014</t>
  </si>
  <si>
    <t>https://torgi.gov.ru/restricted/notification/notificationView.html?notificationId=6532201&amp;lotId=6532751&amp;prevPageN=9</t>
  </si>
  <si>
    <t>61:34:0600016:485</t>
  </si>
  <si>
    <t>https://torgi.gov.ru/restricted/notification/notificationView.html?notificationId=6532201&amp;lotId=6532786&amp;prevPageN=9</t>
  </si>
  <si>
    <t>61:34:0600016:486</t>
  </si>
  <si>
    <t>https://torgi.gov.ru/restricted/notification/notificationView.html?notificationId=6532201&amp;lotId=6532808&amp;prevPageN=9</t>
  </si>
  <si>
    <t>Сальский р-н, Сандата с</t>
  </si>
  <si>
    <t>61:34:0600019:3090</t>
  </si>
  <si>
    <t>https://torgi.gov.ru/restricted/notification/notificationView.html?notificationId=6532201&amp;lotId=6532818&amp;prevPageN=9</t>
  </si>
  <si>
    <t>61:34:0600019:3091</t>
  </si>
  <si>
    <t>https://torgi.gov.ru/restricted/notification/notificationView.html?notificationId=6532201&amp;lotId=6532850&amp;prevPageN=9</t>
  </si>
  <si>
    <t>61:34:0600019:3092</t>
  </si>
  <si>
    <t>https://torgi.gov.ru/restricted/notification/notificationView.html?notificationId=6532201&amp;lotId=6532869&amp;prevPageN=9</t>
  </si>
  <si>
    <t>61:34:0600019:3093</t>
  </si>
  <si>
    <t>https://torgi.gov.ru/restricted/notification/notificationView.html?notificationId=6542698&amp;lotId=6542919&amp;prevPageN=9</t>
  </si>
  <si>
    <t>Рамонский р-н</t>
  </si>
  <si>
    <t>для целей сельскохозяйственного производства</t>
  </si>
  <si>
    <t>36:25:6945007:2, 36:25:6945006:27, 36:25:6945014:66</t>
  </si>
  <si>
    <t>Площадь ЗУ, кв.м.</t>
  </si>
  <si>
    <t>Адрес</t>
  </si>
  <si>
    <t>ВРИ</t>
  </si>
  <si>
    <t>Для сельскохозяйственного производства</t>
  </si>
  <si>
    <t>Ставка аренды, руб./кв.м. в год</t>
  </si>
  <si>
    <t>для сельскохозяйственного производства</t>
  </si>
  <si>
    <t>https://torgi.gov.ru/restricted/notification/notificationView.html?notificationId=5636495&amp;lotId=5636677&amp;prevPageN=1</t>
  </si>
  <si>
    <t>Ставропольский край</t>
  </si>
  <si>
    <t>Петровский р-н, Светлоград г</t>
  </si>
  <si>
    <t>сельскохозяйственного назначения</t>
  </si>
  <si>
    <t>Категория ЗУ</t>
  </si>
  <si>
    <t>Кад номер</t>
  </si>
  <si>
    <t>26:08:041901:7, 26:08:041801:3, 26:08:041801:2</t>
  </si>
  <si>
    <t>Срок аренды, лет</t>
  </si>
  <si>
    <t>Петровский р-н, Светлоград г, колхоз «Победа»</t>
  </si>
  <si>
    <t xml:space="preserve"> Ежегодный платеж, руб.</t>
  </si>
  <si>
    <t>Дата публикации извещения</t>
  </si>
  <si>
    <t>Срок подведения итогов</t>
  </si>
  <si>
    <t xml:space="preserve"> 12.05.2014</t>
  </si>
  <si>
    <t>https://torgi.gov.ru/restricted/notification/notificationView.html?notificationId=5636495&amp;lotId=5636695&amp;prevPageN=1</t>
  </si>
  <si>
    <t>26:08:070302:26, 26:08:070302:2</t>
  </si>
  <si>
    <t>Петровский р-н, Рогатая Балка п</t>
  </si>
  <si>
    <t>https://torgi.gov.ru/restricted/notification/notificationView.html?notificationId=5636804&amp;lotId=5636846&amp;prevPageN=1</t>
  </si>
  <si>
    <t>26:08:000000:698</t>
  </si>
  <si>
    <t>Петровский р-н, Николина Балка с</t>
  </si>
  <si>
    <t>https://torgi.gov.ru/restricted/notification/notificationView.html?notificationId=5636804&amp;lotId=5636915&amp;prevPageN=1</t>
  </si>
  <si>
    <t>Петровский р-н, Шангала с</t>
  </si>
  <si>
    <t xml:space="preserve"> 01.04.2014</t>
  </si>
  <si>
    <t>Новгородская обл</t>
  </si>
  <si>
    <t>https://torgi.gov.ru/restricted/notification/notificationView.html?notificationId=5648665&amp;lotId=5648666&amp;prevPageN=1</t>
  </si>
  <si>
    <t>Тульская обл</t>
  </si>
  <si>
    <t>Воловский р-н, Новоаннинка д, Красивомеченская ул</t>
  </si>
  <si>
    <t>71:06:040201:101</t>
  </si>
  <si>
    <t>для производства сельскохозяйственной продукции</t>
  </si>
  <si>
    <t>https://torgi.gov.ru/restricted/notification/notificationView.html?notificationId=6118023&amp;lotId=6118384&amp;prevPageN=1</t>
  </si>
  <si>
    <t>Алтайский край</t>
  </si>
  <si>
    <t>Локтевский район, МО Второкаменский сельсовет, примерно в 8,9 км по направлению на юг от с. Вторая Каменка</t>
  </si>
  <si>
    <t>22:26:020606:245</t>
  </si>
  <si>
    <t xml:space="preserve"> 03.06.2014</t>
  </si>
  <si>
    <t xml:space="preserve"> 04.07.2014</t>
  </si>
  <si>
    <t>https://torgi.gov.ru/restricted/notification/notificationView.html?notificationId=6118023&amp;lotId=6118483&amp;prevPageN=1</t>
  </si>
  <si>
    <t>Локтевский район, МО Второкаменский сельсовет, примерно в 7,9 км по направлению на юг от с. Вторая Каменка</t>
  </si>
  <si>
    <t>22:26:020606:244</t>
  </si>
  <si>
    <t>https://torgi.gov.ru/restricted/notification/notificationView.html?notificationId=6341410&amp;lotId=6341697&amp;prevPageN=1</t>
  </si>
  <si>
    <t>Ростовская обл</t>
  </si>
  <si>
    <t>Сальский р-н, Новый Егорлык с</t>
  </si>
  <si>
    <t>61:34:0600013:2175</t>
  </si>
  <si>
    <t xml:space="preserve"> 11.08.2014</t>
  </si>
  <si>
    <t>УПКС, руб./кв.м.</t>
  </si>
  <si>
    <t>Ставка капитализации, %</t>
  </si>
  <si>
    <t>26:08:010202:24</t>
  </si>
  <si>
    <t>https://torgi.gov.ru/restricted/notification/notificationView.html?notificationId=6341410&amp;lotId=6341793&amp;prevPageN=1</t>
  </si>
  <si>
    <t>Сальский р-н, Степной Курган п</t>
  </si>
  <si>
    <t xml:space="preserve"> 61:34:0600001:2417</t>
  </si>
  <si>
    <t>https://torgi.gov.ru/restricted/notification/notificationView.html?notificationId=5670637&amp;lotId=5670686&amp;prevPageN=1</t>
  </si>
  <si>
    <t>Тюменская обл</t>
  </si>
  <si>
    <t>Абатский район, Ощепковское сельское поселение, в 500 метрах северо-восточнее с. Быструха</t>
  </si>
  <si>
    <t>72:01:0405001:286</t>
  </si>
  <si>
    <t xml:space="preserve"> 07.05.2014</t>
  </si>
  <si>
    <t>https://torgi.gov.ru/restricted/notification/notificationView.html?notificationId=5670637&amp;lotId=5670729&amp;prevPageN=1</t>
  </si>
  <si>
    <t>Абатский район, участок находится примерно в 1300 м по направлению на юг от бол. Лаптево</t>
  </si>
  <si>
    <t>72:01:0608001:633</t>
  </si>
  <si>
    <t>https://torgi.gov.ru/restricted/notification/notificationView.html?notificationId=5670637&amp;lotId=5670738&amp;prevPageN=1</t>
  </si>
  <si>
    <t>Абатский район, участок находится примерно в 470 м по направлению на юго-восток от бол. Лаптево</t>
  </si>
  <si>
    <t>72:01:0608001:626</t>
  </si>
  <si>
    <t>https://torgi.gov.ru/restricted/notification/notificationView.html?notificationId=5670806&amp;lotId=5670847&amp;prevPageN=1</t>
  </si>
  <si>
    <t>Оренбургская обл</t>
  </si>
  <si>
    <t>Новосергиевский р-н</t>
  </si>
  <si>
    <t>56:19:1114001:70</t>
  </si>
  <si>
    <t>https://torgi.gov.ru/restricted/notification/notificationView.html?notificationId=6126255&amp;lotId=6126782&amp;prevPageN=1</t>
  </si>
  <si>
    <t>Чувашская Республика</t>
  </si>
  <si>
    <t>Алатырский район, Ахматовское сельское поселение</t>
  </si>
  <si>
    <t>21:06:180501:277</t>
  </si>
  <si>
    <t>https://torgi.gov.ru/restricted/notification/notificationView.html?notificationId=6126255&amp;lotId=6126830&amp;prevPageN=1</t>
  </si>
  <si>
    <t>21:06:180501:278</t>
  </si>
  <si>
    <t>https://torgi.gov.ru/restricted/notification/notificationView.html?notificationId=6126255&amp;lotId=6126888&amp;prevPageN=1</t>
  </si>
  <si>
    <t>Алатырский райорн, Стемасское сельское поселение</t>
  </si>
  <si>
    <t>21:06:000000:1528</t>
  </si>
  <si>
    <t>https://torgi.gov.ru/restricted/notification/notificationView.html?notificationId=6128059&amp;lotId=6128160&amp;prevPageN=1</t>
  </si>
  <si>
    <t>Локтевский район, МО Успенский сельсовет</t>
  </si>
  <si>
    <t>22:26:040104:402</t>
  </si>
  <si>
    <t>https://torgi.gov.ru/restricted/notification/notificationView.html?notificationId=5238845&amp;lotId=5238954&amp;prevPageN=1</t>
  </si>
  <si>
    <t>Пермский край</t>
  </si>
  <si>
    <t>Оханский р-н, вблизи Касьяново д</t>
  </si>
  <si>
    <t>для сенокошения</t>
  </si>
  <si>
    <t>59:30:2103001:176</t>
  </si>
  <si>
    <t xml:space="preserve"> 28.03.2014</t>
  </si>
  <si>
    <t>https://torgi.gov.ru/restricted/notification/notificationView.html?notificationId=5238845&amp;lotId=5238991&amp;prevPageN=1</t>
  </si>
  <si>
    <t>59:30:2103002:254</t>
  </si>
  <si>
    <t>https://torgi.gov.ru/restricted/notification/notificationView.html?notificationId=5238845&amp;lotId=5239022&amp;prevPageN=1</t>
  </si>
  <si>
    <t>Оханский р-н, вблизи Острожка с</t>
  </si>
  <si>
    <t>под пастбище</t>
  </si>
  <si>
    <t>59:30:2111001:706</t>
  </si>
  <si>
    <t>https://torgi.gov.ru/restricted/notification/notificationView.html?notificationId=5442633&amp;lotId=5442689&amp;prevPageN=1</t>
  </si>
  <si>
    <t>Петровский р-н, Высоцкое с</t>
  </si>
  <si>
    <t>для сельскохозяйственного производства, вид угодий - пашня</t>
  </si>
  <si>
    <t>26:08:080501:104</t>
  </si>
  <si>
    <t>https://torgi.gov.ru/restricted/notification/notificationView.html?notificationId=5442633&amp;lotId=5442714&amp;prevPageN=1</t>
  </si>
  <si>
    <t>Петровский р-н, Благодатное с</t>
  </si>
  <si>
    <t>26:08:020301:68</t>
  </si>
  <si>
    <t xml:space="preserve"> 05.03.2014</t>
  </si>
  <si>
    <t xml:space="preserve"> 28.04.2014</t>
  </si>
  <si>
    <t>https://torgi.gov.ru/restricted/notification/notificationView.html?notificationId=6135110&amp;lotId=6135170&amp;prevPageN=1</t>
  </si>
  <si>
    <t>Нежинка с</t>
  </si>
  <si>
    <t>для сельскохозяйственного использования</t>
  </si>
  <si>
    <t>56:21:0000000:14314</t>
  </si>
  <si>
    <t xml:space="preserve"> 07.07.2014</t>
  </si>
  <si>
    <t>https://torgi.gov.ru/restricted/notification/notificationView.html?notificationId=6135110&amp;lotId=6135246&amp;prevPageN=1</t>
  </si>
  <si>
    <t>56:21:1414001:33</t>
  </si>
  <si>
    <t>https://torgi.gov.ru/restricted/notification/notificationView.html?notificationId=6135110&amp;lotId=6136218&amp;prevPageN=1</t>
  </si>
  <si>
    <t>https://torgi.gov.ru/restricted/notification/notificationView.html?notificationId=6135110&amp;lotId=6136339&amp;prevPageN=1</t>
  </si>
  <si>
    <t>56:21:1412002:26</t>
  </si>
  <si>
    <t>56:21:1414001:28</t>
  </si>
  <si>
    <t>https://torgi.gov.ru/restricted/notification/notificationView.html?notificationId=6135110&amp;lotId=6137200&amp;prevPageN=1</t>
  </si>
  <si>
    <t xml:space="preserve"> для сельскохозяйственного использования</t>
  </si>
  <si>
    <t>https://torgi.gov.ru/restricted/notification/notificationView.html?notificationId=6135110&amp;lotId=6137449&amp;prevPageN=1</t>
  </si>
  <si>
    <t>56:21:1412002:28</t>
  </si>
  <si>
    <t>56:21:1412001:15</t>
  </si>
  <si>
    <t>https://torgi.gov.ru/restricted/notification/notificationView.html?notificationId=6135110&amp;lotId=6137808&amp;prevPageN=1</t>
  </si>
  <si>
    <t>56:21:1412001:16</t>
  </si>
  <si>
    <t>https://torgi.gov.ru/restricted/notification/notificationView.html?notificationId=6135110&amp;lotId=6137909&amp;prevPageN=1</t>
  </si>
  <si>
    <t>56:21:1414001:32</t>
  </si>
  <si>
    <t>https://torgi.gov.ru/restricted/notification/notificationView.html?notificationId=6135110&amp;lotId=6137945&amp;prevPageN=1</t>
  </si>
  <si>
    <t>56:21:1412002:29</t>
  </si>
  <si>
    <t>https://torgi.gov.ru/restricted/notification/notificationView.html?notificationId=6135110&amp;lotId=6137999&amp;prevPageN=1</t>
  </si>
  <si>
    <t>56:21:0000000:14316</t>
  </si>
  <si>
    <t>https://torgi.gov.ru/restricted/notification/notificationView.html?notificationId=6135110&amp;lotId=6138078&amp;prevPageN=1</t>
  </si>
  <si>
    <t>56:21:1414001:30</t>
  </si>
  <si>
    <t>https://torgi.gov.ru/restricted/notification/notificationView.html?notificationId=6134524&amp;lotId=6134624&amp;prevPageN=1</t>
  </si>
  <si>
    <t>Самарская обл</t>
  </si>
  <si>
    <t>Нефтегорский район, в границах ПСК «Родина»</t>
  </si>
  <si>
    <t>для сельскохозяйственного производства (пашня)</t>
  </si>
  <si>
    <t>63:27:0802007:165</t>
  </si>
  <si>
    <t>https://torgi.gov.ru/restricted/notification/notificationView.html?notificationId=6134524&amp;lotId=6134703&amp;prevPageN=1</t>
  </si>
  <si>
    <t>63:27:0802007:164</t>
  </si>
  <si>
    <t>https://torgi.gov.ru/restricted/notification/notificationView.html?notificationId=6134524&amp;lotId=6134816&amp;prevPageN=1</t>
  </si>
  <si>
    <t>Нефтегорский р-н</t>
  </si>
  <si>
    <t>Брянская обл</t>
  </si>
  <si>
    <t>https://torgi.gov.ru/restricted/notification/notificationView.html?notificationId=5252041&amp;lotId=5252116&amp;prevPageN=1</t>
  </si>
  <si>
    <t>Кабардино-Балкарская Респ</t>
  </si>
  <si>
    <t>Урванский р-н, Кахун с</t>
  </si>
  <si>
    <t>07:07:2300000:36</t>
  </si>
  <si>
    <t xml:space="preserve"> 17.03.2014</t>
  </si>
  <si>
    <t>https://torgi.gov.ru/restricted/notification/notificationView.html?notificationId=5252041&amp;lotId=5252131&amp;prevPageN=1</t>
  </si>
  <si>
    <t>07:07:2300000:32</t>
  </si>
  <si>
    <t xml:space="preserve"> 06.02.2014 </t>
  </si>
  <si>
    <t>https://torgi.gov.ru/restricted/notification/notificationView.html?notificationId=5252041&amp;lotId=5252201&amp;prevPageN=1</t>
  </si>
  <si>
    <t>07:07:2300000:34</t>
  </si>
  <si>
    <t>https://torgi.gov.ru/restricted/notification/notificationView.html?notificationId=5252041&amp;lotId=5252220&amp;prevPageN=1</t>
  </si>
  <si>
    <t>07:07:2300000:31</t>
  </si>
  <si>
    <t>https://torgi.gov.ru/restricted/notification/notificationView.html?notificationId=5252041&amp;lotId=5252261&amp;prevPageN=1</t>
  </si>
  <si>
    <t>07:07:2300000:35</t>
  </si>
  <si>
    <t xml:space="preserve"> 06.02.2014</t>
  </si>
  <si>
    <t>https://torgi.gov.ru/restricted/notification/notificationView.html?notificationId=5901186&amp;lotId=5902142&amp;prevPageN=1</t>
  </si>
  <si>
    <t>Чеченская Респ</t>
  </si>
  <si>
    <t>Грозненский р-н, Гикало п</t>
  </si>
  <si>
    <t>для выращивания с/х продукции</t>
  </si>
  <si>
    <t>20:03:6402000:0048</t>
  </si>
  <si>
    <t xml:space="preserve"> 06.05.2014</t>
  </si>
  <si>
    <t xml:space="preserve"> 09.06.2014</t>
  </si>
  <si>
    <t>https://torgi.gov.ru/restricted/notification/notificationView.html?notificationId=5892044&amp;lotId=5892135&amp;prevPageN=1</t>
  </si>
  <si>
    <t>Удмуртская Респ</t>
  </si>
  <si>
    <t>Дебесский р-н</t>
  </si>
  <si>
    <t>18:07:000000:771</t>
  </si>
  <si>
    <t>https://torgi.gov.ru/restricted/notification/notificationView.html?notificationId=6586369&amp;lotId=6587810&amp;prevPageN=1</t>
  </si>
  <si>
    <t>Белгородская обл</t>
  </si>
  <si>
    <t>Шебекинский р-н</t>
  </si>
  <si>
    <t>31:17:0703003:129</t>
  </si>
  <si>
    <t>ЗУ сельскохозяйственного назначения</t>
  </si>
  <si>
    <t>для ведения сельскохозяйственного производства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</si>
</sst>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&quot;р.&quot;"/>
    <numFmt numFmtId="184" formatCode="0.000"/>
    <numFmt numFmtId="185" formatCode="0.0%"/>
    <numFmt numFmtId="186" formatCode="[$-FC19]d\ mmmm\ yyyy\ &quot;г.&quot;"/>
    <numFmt numFmtId="187" formatCode="0.0"/>
    <numFmt numFmtId="188" formatCode="dd/mm/yy;@"/>
    <numFmt numFmtId="189" formatCode="0.000%"/>
    <numFmt numFmtId="190" formatCode="0.0000%"/>
  </numFmts>
  <fonts count="24">
    <font>
      <sz val="10"/>
      <name val="Arial"/>
      <family val="0"/>
    </font>
    <font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8"/>
      <name val="Arial Cyr"/>
      <family val="0"/>
    </font>
    <font>
      <sz val="9.75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5.5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4"/>
      <color indexed="10"/>
      <name val="Arial Cyr"/>
      <family val="0"/>
    </font>
    <font>
      <b/>
      <vertAlign val="superscript"/>
      <sz val="14"/>
      <color indexed="10"/>
      <name val="Arial Cyr"/>
      <family val="0"/>
    </font>
    <font>
      <b/>
      <sz val="14"/>
      <color indexed="21"/>
      <name val="Arial Cyr"/>
      <family val="0"/>
    </font>
    <font>
      <b/>
      <vertAlign val="superscript"/>
      <sz val="14"/>
      <color indexed="21"/>
      <name val="Arial Cyr"/>
      <family val="0"/>
    </font>
    <font>
      <b/>
      <sz val="14"/>
      <color indexed="12"/>
      <name val="Arial Cyr"/>
      <family val="0"/>
    </font>
    <font>
      <b/>
      <vertAlign val="superscript"/>
      <sz val="14"/>
      <color indexed="12"/>
      <name val="Arial Cyr"/>
      <family val="0"/>
    </font>
    <font>
      <b/>
      <sz val="14"/>
      <color indexed="46"/>
      <name val="Arial Cyr"/>
      <family val="0"/>
    </font>
    <font>
      <b/>
      <vertAlign val="superscript"/>
      <sz val="14"/>
      <color indexed="46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0" fontId="1" fillId="2" borderId="1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84" fontId="1" fillId="0" borderId="9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" fillId="3" borderId="8" xfId="0" applyNumberFormat="1" applyFont="1" applyFill="1" applyBorder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18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10" fontId="1" fillId="0" borderId="19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/>
    </xf>
    <xf numFmtId="10" fontId="5" fillId="4" borderId="22" xfId="0" applyNumberFormat="1" applyFont="1" applyFill="1" applyBorder="1" applyAlignment="1">
      <alignment horizontal="center"/>
    </xf>
    <xf numFmtId="10" fontId="5" fillId="4" borderId="23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4" xfId="0" applyFont="1" applyFill="1" applyBorder="1" applyAlignment="1">
      <alignment/>
    </xf>
    <xf numFmtId="0" fontId="5" fillId="4" borderId="1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0" fontId="5" fillId="4" borderId="13" xfId="0" applyNumberFormat="1" applyFont="1" applyFill="1" applyBorder="1" applyAlignment="1">
      <alignment horizontal="center"/>
    </xf>
    <xf numFmtId="10" fontId="5" fillId="4" borderId="28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10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85" fontId="1" fillId="0" borderId="0" xfId="0" applyNumberFormat="1" applyFont="1" applyFill="1" applyAlignment="1">
      <alignment horizontal="center"/>
    </xf>
    <xf numFmtId="185" fontId="1" fillId="0" borderId="0" xfId="0" applyNumberFormat="1" applyFont="1" applyFill="1" applyAlignment="1">
      <alignment horizontal="center" vertical="center" wrapText="1"/>
    </xf>
    <xf numFmtId="0" fontId="5" fillId="2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4" borderId="20" xfId="0" applyFont="1" applyFill="1" applyBorder="1" applyAlignment="1">
      <alignment/>
    </xf>
    <xf numFmtId="0" fontId="5" fillId="4" borderId="3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/>
    </xf>
    <xf numFmtId="10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0" fontId="1" fillId="0" borderId="8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0" fontId="1" fillId="3" borderId="8" xfId="0" applyNumberFormat="1" applyFont="1" applyFill="1" applyBorder="1" applyAlignment="1">
      <alignment horizontal="center" vertical="center" wrapText="1"/>
    </xf>
    <xf numFmtId="10" fontId="1" fillId="3" borderId="1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0" fontId="1" fillId="3" borderId="39" xfId="0" applyNumberFormat="1" applyFont="1" applyFill="1" applyBorder="1" applyAlignment="1">
      <alignment horizontal="center" vertical="center" wrapText="1"/>
    </xf>
    <xf numFmtId="10" fontId="1" fillId="0" borderId="39" xfId="0" applyNumberFormat="1" applyFont="1" applyFill="1" applyBorder="1" applyAlignment="1">
      <alignment horizontal="center" vertical="center" wrapText="1"/>
    </xf>
    <xf numFmtId="10" fontId="1" fillId="0" borderId="3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188" fontId="1" fillId="0" borderId="1" xfId="0" applyNumberFormat="1" applyFont="1" applyBorder="1" applyAlignment="1">
      <alignment horizontal="center" vertical="center" wrapText="1"/>
    </xf>
    <xf numFmtId="188" fontId="1" fillId="0" borderId="9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Центральный ФО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95"/>
          <c:w val="0.9655"/>
          <c:h val="0.8205"/>
        </c:manualLayout>
      </c:layout>
      <c:scatterChart>
        <c:scatterStyle val="lineMarker"/>
        <c:varyColors val="0"/>
        <c:ser>
          <c:idx val="0"/>
          <c:order val="0"/>
          <c:tx>
            <c:v>Центральный, Приволжский ФО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'Ставки капитализации'!$H$162:$H$243</c:f>
              <c:numCache/>
            </c:numRef>
          </c:xVal>
          <c:yVal>
            <c:numRef>
              <c:f>'Ставки капитализации'!$O$162:$O$243</c:f>
              <c:numCache/>
            </c:numRef>
          </c:yVal>
          <c:smooth val="0"/>
        </c:ser>
        <c:axId val="47472874"/>
        <c:axId val="13167587"/>
      </c:scatterChart>
      <c:valAx>
        <c:axId val="47472874"/>
        <c:scaling>
          <c:orientation val="minMax"/>
          <c:max val="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167587"/>
        <c:crosses val="autoZero"/>
        <c:crossBetween val="midCat"/>
        <c:dispUnits/>
        <c:majorUnit val="5"/>
      </c:valAx>
      <c:valAx>
        <c:axId val="13167587"/>
        <c:scaling>
          <c:orientation val="minMax"/>
          <c:max val="0.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472874"/>
        <c:crosses val="autoZero"/>
        <c:crossBetween val="midCat"/>
        <c:dispUnits/>
        <c:majorUnit val="0.0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Приволжский ФО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2"/>
          <c:w val="0.959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Приволжский ФО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'Ставки капитализации'!$H$297:$H$386</c:f>
              <c:numCache/>
            </c:numRef>
          </c:xVal>
          <c:yVal>
            <c:numRef>
              <c:f>'Ставки капитализации'!$O$297:$O$386</c:f>
              <c:numCache/>
            </c:numRef>
          </c:yVal>
          <c:smooth val="0"/>
        </c:ser>
        <c:axId val="36960904"/>
        <c:axId val="10729705"/>
      </c:scatterChart>
      <c:valAx>
        <c:axId val="36960904"/>
        <c:scaling>
          <c:orientation val="minMax"/>
          <c:max val="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729705"/>
        <c:crosses val="autoZero"/>
        <c:crossBetween val="midCat"/>
        <c:dispUnits/>
        <c:majorUnit val="5"/>
      </c:valAx>
      <c:valAx>
        <c:axId val="10729705"/>
        <c:scaling>
          <c:orientation val="minMax"/>
          <c:max val="0.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960904"/>
        <c:crosses val="autoZero"/>
        <c:crossBetween val="midCat"/>
        <c:dispUnits/>
        <c:majorUnit val="0.0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Южный, Северо-Кавказский ФО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1675"/>
          <c:w val="0.96525"/>
          <c:h val="0.81125"/>
        </c:manualLayout>
      </c:layout>
      <c:scatterChart>
        <c:scatterStyle val="lineMarker"/>
        <c:varyColors val="0"/>
        <c:ser>
          <c:idx val="0"/>
          <c:order val="0"/>
          <c:tx>
            <c:v>Центральный, Приволжский ФО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'Ставки капитализации'!$H$456:$H$540</c:f>
              <c:numCache/>
            </c:numRef>
          </c:xVal>
          <c:yVal>
            <c:numRef>
              <c:f>'Ставки капитализации'!$O$456:$O$540</c:f>
              <c:numCache/>
            </c:numRef>
          </c:yVal>
          <c:smooth val="0"/>
        </c:ser>
        <c:axId val="5268438"/>
        <c:axId val="1380831"/>
      </c:scatterChart>
      <c:valAx>
        <c:axId val="5268438"/>
        <c:scaling>
          <c:orientation val="minMax"/>
          <c:max val="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80831"/>
        <c:crosses val="autoZero"/>
        <c:crossBetween val="midCat"/>
        <c:dispUnits/>
        <c:majorUnit val="5"/>
      </c:valAx>
      <c:valAx>
        <c:axId val="1380831"/>
        <c:scaling>
          <c:orientation val="minMax"/>
          <c:max val="0.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68438"/>
        <c:crosses val="autoZero"/>
        <c:crossBetween val="midCat"/>
        <c:dispUnits/>
        <c:majorUnit val="0.0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Уральский ФО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165"/>
          <c:w val="0.96625"/>
          <c:h val="0.81225"/>
        </c:manualLayout>
      </c:layout>
      <c:scatterChart>
        <c:scatterStyle val="lineMarker"/>
        <c:varyColors val="0"/>
        <c:ser>
          <c:idx val="0"/>
          <c:order val="0"/>
          <c:tx>
            <c:v>Центральный, Приволжский ФО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'Ставки капитализации'!$H$607:$H$639</c:f>
              <c:numCache/>
            </c:numRef>
          </c:xVal>
          <c:yVal>
            <c:numRef>
              <c:f>'Ставки капитализации'!$O$607:$O$639</c:f>
              <c:numCache/>
            </c:numRef>
          </c:yVal>
          <c:smooth val="0"/>
        </c:ser>
        <c:axId val="17950804"/>
        <c:axId val="32033861"/>
      </c:scatterChart>
      <c:valAx>
        <c:axId val="1795080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033861"/>
        <c:crosses val="autoZero"/>
        <c:crossBetween val="midCat"/>
        <c:dispUnits/>
        <c:majorUnit val="5"/>
      </c:valAx>
      <c:valAx>
        <c:axId val="32033861"/>
        <c:scaling>
          <c:orientation val="minMax"/>
          <c:max val="0.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950804"/>
        <c:crosses val="autoZero"/>
        <c:crossBetween val="midCat"/>
        <c:dispUnits/>
        <c:majorUnit val="0.0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Сибирский ФО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1175"/>
          <c:w val="0.9665"/>
          <c:h val="0.8175"/>
        </c:manualLayout>
      </c:layout>
      <c:scatterChart>
        <c:scatterStyle val="lineMarker"/>
        <c:varyColors val="0"/>
        <c:ser>
          <c:idx val="0"/>
          <c:order val="0"/>
          <c:tx>
            <c:v>Центральный, Приволжский ФО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'Ставки капитализации'!$H$668:$H$699</c:f>
              <c:numCache/>
            </c:numRef>
          </c:xVal>
          <c:yVal>
            <c:numRef>
              <c:f>'Ставки капитализации'!$O$668:$O$699</c:f>
              <c:numCache/>
            </c:numRef>
          </c:yVal>
          <c:smooth val="0"/>
        </c:ser>
        <c:axId val="13787010"/>
        <c:axId val="45013403"/>
      </c:scatterChart>
      <c:valAx>
        <c:axId val="1378701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013403"/>
        <c:crosses val="autoZero"/>
        <c:crossBetween val="midCat"/>
        <c:dispUnits/>
        <c:majorUnit val="5"/>
      </c:valAx>
      <c:valAx>
        <c:axId val="45013403"/>
        <c:scaling>
          <c:orientation val="minMax"/>
          <c:max val="0.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787010"/>
        <c:crosses val="autoZero"/>
        <c:crossBetween val="midCat"/>
        <c:dispUnits/>
        <c:majorUnit val="0.0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15"/>
          <c:w val="0.6572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Центральный ФО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'Ставки капитализации'!$C$6:$H$6</c:f>
              <c:numCache/>
            </c:numRef>
          </c:xVal>
          <c:yVal>
            <c:numRef>
              <c:f>'Ставки капитализации'!$C$19:$H$19</c:f>
              <c:numCache/>
            </c:numRef>
          </c:yVal>
          <c:smooth val="0"/>
        </c:ser>
        <c:ser>
          <c:idx val="2"/>
          <c:order val="1"/>
          <c:tx>
            <c:v>Южный, Сев.-Кавказский ФО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38100">
                <a:solidFill>
                  <a:srgbClr val="3399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'Ставки капитализации'!$C$6:$H$6</c:f>
              <c:numCache/>
            </c:numRef>
          </c:xVal>
          <c:yVal>
            <c:numRef>
              <c:f>'Ставки капитализации'!$C$40:$H$40</c:f>
              <c:numCache/>
            </c:numRef>
          </c:yVal>
          <c:smooth val="0"/>
        </c:ser>
        <c:ser>
          <c:idx val="1"/>
          <c:order val="2"/>
          <c:tx>
            <c:v>Приволжский ФО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'Ставки капитализации'!$C$6:$H$6</c:f>
              <c:numCache/>
            </c:numRef>
          </c:xVal>
          <c:yVal>
            <c:numRef>
              <c:f>'Ставки капитализации'!$C$31:$H$31</c:f>
              <c:numCache/>
            </c:numRef>
          </c:yVal>
          <c:smooth val="0"/>
        </c:ser>
        <c:ser>
          <c:idx val="3"/>
          <c:order val="3"/>
          <c:tx>
            <c:v>Уральский ФО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trendline>
            <c:spPr>
              <a:ln w="38100">
                <a:solidFill>
                  <a:srgbClr val="CC99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CC99FF"/>
                      </a:solidFill>
                    </a:defRPr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'Ставки капитализации'!$C$6:$H$6</c:f>
              <c:numCache/>
            </c:numRef>
          </c:xVal>
          <c:yVal>
            <c:numRef>
              <c:f>'Ставки капитализации'!$C$46:$H$46</c:f>
              <c:numCache/>
            </c:numRef>
          </c:yVal>
          <c:smooth val="0"/>
        </c:ser>
        <c:axId val="48303328"/>
        <c:axId val="23963489"/>
      </c:scatterChart>
      <c:valAx>
        <c:axId val="48303328"/>
        <c:scaling>
          <c:orientation val="minMax"/>
          <c:max val="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963489"/>
        <c:crosses val="autoZero"/>
        <c:crossBetween val="midCat"/>
        <c:dispUnits/>
        <c:majorUnit val="5"/>
      </c:valAx>
      <c:valAx>
        <c:axId val="23963489"/>
        <c:scaling>
          <c:orientation val="minMax"/>
          <c:max val="0.0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303328"/>
        <c:crosses val="autoZero"/>
        <c:crossBetween val="midCat"/>
        <c:dispUnits/>
        <c:majorUnit val="0.005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'Ставки капитализации'!$B$109:$B$113</c:f>
              <c:strCache/>
            </c:strRef>
          </c:cat>
          <c:val>
            <c:numRef>
              <c:f>'Ставки капитализации'!$I$109:$I$113</c:f>
              <c:numCache/>
            </c:numRef>
          </c:val>
        </c:ser>
        <c:gapWidth val="0"/>
        <c:axId val="43089902"/>
        <c:axId val="23297815"/>
      </c:barChart>
      <c:catAx>
        <c:axId val="43089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федеральный округ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297815"/>
        <c:crosses val="autoZero"/>
        <c:auto val="1"/>
        <c:lblOffset val="100"/>
        <c:noMultiLvlLbl val="0"/>
      </c:catAx>
      <c:valAx>
        <c:axId val="2329781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Число отобранных записей, шт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08990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'Ставки капитализации'!$C$108:$H$108</c:f>
              <c:numCache/>
            </c:numRef>
          </c:cat>
          <c:val>
            <c:numRef>
              <c:f>'Ставки капитализации'!$C$114:$H$114</c:f>
              <c:numCache/>
            </c:numRef>
          </c:val>
        </c:ser>
        <c:gapWidth val="0"/>
        <c:axId val="34436140"/>
        <c:axId val="45016637"/>
      </c:barChart>
      <c:catAx>
        <c:axId val="3443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срок аренды земельных участков, лет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016637"/>
        <c:crosses val="autoZero"/>
        <c:auto val="1"/>
        <c:lblOffset val="100"/>
        <c:noMultiLvlLbl val="0"/>
      </c:catAx>
      <c:valAx>
        <c:axId val="4501663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Число отобранных записей, шт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43614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244</xdr:row>
      <xdr:rowOff>19050</xdr:rowOff>
    </xdr:from>
    <xdr:to>
      <xdr:col>4</xdr:col>
      <xdr:colOff>1028700</xdr:colOff>
      <xdr:row>274</xdr:row>
      <xdr:rowOff>104775</xdr:rowOff>
    </xdr:to>
    <xdr:graphicFrame>
      <xdr:nvGraphicFramePr>
        <xdr:cNvPr id="1" name="Chart 29"/>
        <xdr:cNvGraphicFramePr/>
      </xdr:nvGraphicFramePr>
      <xdr:xfrm>
        <a:off x="0" y="49091850"/>
        <a:ext cx="62674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387</xdr:row>
      <xdr:rowOff>114300</xdr:rowOff>
    </xdr:from>
    <xdr:to>
      <xdr:col>4</xdr:col>
      <xdr:colOff>9525</xdr:colOff>
      <xdr:row>417</xdr:row>
      <xdr:rowOff>19050</xdr:rowOff>
    </xdr:to>
    <xdr:graphicFrame>
      <xdr:nvGraphicFramePr>
        <xdr:cNvPr id="2" name="Chart 30"/>
        <xdr:cNvGraphicFramePr/>
      </xdr:nvGraphicFramePr>
      <xdr:xfrm>
        <a:off x="0" y="88811100"/>
        <a:ext cx="52482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541</xdr:row>
      <xdr:rowOff>133350</xdr:rowOff>
    </xdr:from>
    <xdr:to>
      <xdr:col>4</xdr:col>
      <xdr:colOff>1104900</xdr:colOff>
      <xdr:row>569</xdr:row>
      <xdr:rowOff>76200</xdr:rowOff>
    </xdr:to>
    <xdr:graphicFrame>
      <xdr:nvGraphicFramePr>
        <xdr:cNvPr id="3" name="Chart 31"/>
        <xdr:cNvGraphicFramePr/>
      </xdr:nvGraphicFramePr>
      <xdr:xfrm>
        <a:off x="0" y="133426200"/>
        <a:ext cx="634365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640</xdr:row>
      <xdr:rowOff>66675</xdr:rowOff>
    </xdr:from>
    <xdr:to>
      <xdr:col>4</xdr:col>
      <xdr:colOff>1295400</xdr:colOff>
      <xdr:row>655</xdr:row>
      <xdr:rowOff>247650</xdr:rowOff>
    </xdr:to>
    <xdr:graphicFrame>
      <xdr:nvGraphicFramePr>
        <xdr:cNvPr id="4" name="Chart 32"/>
        <xdr:cNvGraphicFramePr/>
      </xdr:nvGraphicFramePr>
      <xdr:xfrm>
        <a:off x="0" y="159391350"/>
        <a:ext cx="65341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699</xdr:row>
      <xdr:rowOff>142875</xdr:rowOff>
    </xdr:from>
    <xdr:to>
      <xdr:col>4</xdr:col>
      <xdr:colOff>1333500</xdr:colOff>
      <xdr:row>715</xdr:row>
      <xdr:rowOff>228600</xdr:rowOff>
    </xdr:to>
    <xdr:graphicFrame>
      <xdr:nvGraphicFramePr>
        <xdr:cNvPr id="5" name="Chart 33"/>
        <xdr:cNvGraphicFramePr/>
      </xdr:nvGraphicFramePr>
      <xdr:xfrm>
        <a:off x="0" y="176660175"/>
        <a:ext cx="6572250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6</xdr:row>
      <xdr:rowOff>0</xdr:rowOff>
    </xdr:from>
    <xdr:to>
      <xdr:col>19</xdr:col>
      <xdr:colOff>247650</xdr:colOff>
      <xdr:row>34</xdr:row>
      <xdr:rowOff>95250</xdr:rowOff>
    </xdr:to>
    <xdr:graphicFrame>
      <xdr:nvGraphicFramePr>
        <xdr:cNvPr id="6" name="Chart 34"/>
        <xdr:cNvGraphicFramePr/>
      </xdr:nvGraphicFramePr>
      <xdr:xfrm>
        <a:off x="10858500" y="933450"/>
        <a:ext cx="8353425" cy="4381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119</xdr:row>
      <xdr:rowOff>9525</xdr:rowOff>
    </xdr:from>
    <xdr:to>
      <xdr:col>4</xdr:col>
      <xdr:colOff>1323975</xdr:colOff>
      <xdr:row>152</xdr:row>
      <xdr:rowOff>95250</xdr:rowOff>
    </xdr:to>
    <xdr:graphicFrame>
      <xdr:nvGraphicFramePr>
        <xdr:cNvPr id="7" name="Chart 35"/>
        <xdr:cNvGraphicFramePr/>
      </xdr:nvGraphicFramePr>
      <xdr:xfrm>
        <a:off x="228600" y="18230850"/>
        <a:ext cx="6334125" cy="4800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19050</xdr:colOff>
      <xdr:row>119</xdr:row>
      <xdr:rowOff>9525</xdr:rowOff>
    </xdr:from>
    <xdr:to>
      <xdr:col>10</xdr:col>
      <xdr:colOff>600075</xdr:colOff>
      <xdr:row>152</xdr:row>
      <xdr:rowOff>104775</xdr:rowOff>
    </xdr:to>
    <xdr:graphicFrame>
      <xdr:nvGraphicFramePr>
        <xdr:cNvPr id="8" name="Chart 36"/>
        <xdr:cNvGraphicFramePr/>
      </xdr:nvGraphicFramePr>
      <xdr:xfrm>
        <a:off x="6638925" y="18230850"/>
        <a:ext cx="6343650" cy="4810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7"/>
  <sheetViews>
    <sheetView tabSelected="1" workbookViewId="0" topLeftCell="A1">
      <selection activeCell="K42" sqref="K42"/>
    </sheetView>
  </sheetViews>
  <sheetFormatPr defaultColWidth="9.140625" defaultRowHeight="12.75"/>
  <cols>
    <col min="1" max="1" width="3.421875" style="1" customWidth="1"/>
    <col min="2" max="2" width="33.7109375" style="1" customWidth="1"/>
    <col min="3" max="5" width="20.7109375" style="22" customWidth="1"/>
    <col min="6" max="6" width="20.7109375" style="23" customWidth="1"/>
    <col min="7" max="7" width="20.7109375" style="22" customWidth="1"/>
    <col min="8" max="8" width="20.7109375" style="23" customWidth="1"/>
    <col min="9" max="9" width="9.140625" style="23" customWidth="1"/>
    <col min="10" max="10" width="15.140625" style="23" customWidth="1"/>
    <col min="11" max="11" width="11.8515625" style="22" customWidth="1"/>
    <col min="12" max="12" width="10.140625" style="4" customWidth="1"/>
    <col min="13" max="13" width="9.140625" style="4" customWidth="1"/>
    <col min="14" max="14" width="10.8515625" style="30" bestFit="1" customWidth="1"/>
    <col min="15" max="15" width="11.28125" style="28" customWidth="1"/>
    <col min="16" max="17" width="10.00390625" style="22" bestFit="1" customWidth="1"/>
    <col min="18" max="18" width="16.28125" style="22" customWidth="1"/>
    <col min="19" max="19" width="9.140625" style="22" customWidth="1"/>
    <col min="20" max="20" width="19.140625" style="22" customWidth="1"/>
    <col min="21" max="16384" width="9.140625" style="22" customWidth="1"/>
  </cols>
  <sheetData>
    <row r="1" spans="1:10" ht="11.25">
      <c r="A1" s="132"/>
      <c r="B1" s="133" t="s">
        <v>1171</v>
      </c>
      <c r="C1" s="133" t="s">
        <v>133</v>
      </c>
      <c r="D1" s="133" t="s">
        <v>136</v>
      </c>
      <c r="E1" s="134"/>
      <c r="F1" s="135"/>
      <c r="G1" s="2"/>
      <c r="H1" s="24"/>
      <c r="I1" s="24"/>
      <c r="J1" s="24"/>
    </row>
    <row r="2" spans="1:15" s="52" customFormat="1" ht="11.25">
      <c r="A2" s="64"/>
      <c r="B2" s="65"/>
      <c r="C2" s="65"/>
      <c r="D2" s="65"/>
      <c r="E2" s="55"/>
      <c r="F2" s="66"/>
      <c r="G2" s="67"/>
      <c r="H2" s="66"/>
      <c r="I2" s="66"/>
      <c r="J2" s="66"/>
      <c r="L2" s="68"/>
      <c r="M2" s="68"/>
      <c r="N2" s="54"/>
      <c r="O2" s="55"/>
    </row>
    <row r="3" spans="1:15" s="52" customFormat="1" ht="11.25">
      <c r="A3" s="64"/>
      <c r="B3" s="65"/>
      <c r="C3" s="65"/>
      <c r="D3" s="65"/>
      <c r="E3" s="55"/>
      <c r="F3" s="66"/>
      <c r="G3" s="67"/>
      <c r="H3" s="66"/>
      <c r="I3" s="66"/>
      <c r="J3" s="66"/>
      <c r="L3" s="68"/>
      <c r="M3" s="68"/>
      <c r="N3" s="54"/>
      <c r="O3" s="55"/>
    </row>
    <row r="4" spans="1:15" s="52" customFormat="1" ht="16.5" thickBot="1">
      <c r="A4" s="64"/>
      <c r="B4" s="106" t="s">
        <v>116</v>
      </c>
      <c r="C4" s="65"/>
      <c r="D4" s="65"/>
      <c r="E4" s="55"/>
      <c r="F4" s="66"/>
      <c r="G4" s="67"/>
      <c r="H4" s="66"/>
      <c r="J4" s="66"/>
      <c r="L4" s="68"/>
      <c r="M4" s="68"/>
      <c r="N4" s="54"/>
      <c r="O4" s="55"/>
    </row>
    <row r="5" spans="1:15" s="52" customFormat="1" ht="12" thickTop="1">
      <c r="A5" s="64"/>
      <c r="B5" s="79" t="s">
        <v>119</v>
      </c>
      <c r="C5" s="80" t="s">
        <v>118</v>
      </c>
      <c r="D5" s="81"/>
      <c r="E5" s="81"/>
      <c r="F5" s="81"/>
      <c r="G5" s="81"/>
      <c r="H5" s="82"/>
      <c r="J5" s="66"/>
      <c r="L5" s="68"/>
      <c r="M5" s="68"/>
      <c r="N5" s="54"/>
      <c r="O5" s="55"/>
    </row>
    <row r="6" spans="1:15" s="52" customFormat="1" ht="11.25">
      <c r="A6" s="64"/>
      <c r="B6" s="83"/>
      <c r="C6" s="77">
        <v>3</v>
      </c>
      <c r="D6" s="77">
        <v>5</v>
      </c>
      <c r="E6" s="77">
        <v>7</v>
      </c>
      <c r="F6" s="77">
        <v>10</v>
      </c>
      <c r="G6" s="77">
        <v>15</v>
      </c>
      <c r="H6" s="84">
        <v>49</v>
      </c>
      <c r="J6" s="66"/>
      <c r="L6" s="68"/>
      <c r="M6" s="68"/>
      <c r="N6" s="54"/>
      <c r="O6" s="55"/>
    </row>
    <row r="7" spans="1:15" s="52" customFormat="1" ht="18.75">
      <c r="A7" s="64"/>
      <c r="B7" s="96" t="s">
        <v>790</v>
      </c>
      <c r="C7" s="97"/>
      <c r="D7" s="97"/>
      <c r="E7" s="97"/>
      <c r="F7" s="97"/>
      <c r="G7" s="97"/>
      <c r="H7" s="98"/>
      <c r="J7" s="66"/>
      <c r="L7" s="68"/>
      <c r="M7" s="68"/>
      <c r="N7" s="54"/>
      <c r="O7" s="55"/>
    </row>
    <row r="8" spans="1:15" s="52" customFormat="1" ht="11.25">
      <c r="A8" s="64"/>
      <c r="B8" s="85" t="s">
        <v>1168</v>
      </c>
      <c r="C8" s="69" t="str">
        <f>IF(ISERROR(ROUND(SUMPRODUCT(($C$162:$C$243=B8)*($H$162:$H$243=$C$6)*($O$162:$O$243))/C60,4)),"-",(ROUND(SUMPRODUCT(($C$162:$C$243=B8)*($H$162:$H$243=$C$6)*($O$162:$O$243))/C60,4)))</f>
        <v>-</v>
      </c>
      <c r="D8" s="76" t="str">
        <f>IF(ISERROR(ROUND(SUMPRODUCT(($C$162:$C$243=B8)*($H$162:$H$243=$D$6)*($O$162:$O$243))/D60,4)),"-",(ROUND(SUMPRODUCT(($C$162:$C$243=B8)*($H$162:$H$243=$D$6)*($O$162:$O$243))/D60,4)))</f>
        <v>-</v>
      </c>
      <c r="E8" s="29" t="str">
        <f>IF(ISERROR(ROUND(SUMPRODUCT(($C$162:$C$243=B8)*($H$162:$H$243=$E$6)*($O$162:$O$243))/E60,4)),"-",(ROUND(SUMPRODUCT(($C$162:$C$243=B8)*($H$162:$H$243=$E$6)*($O$162:$O$243))/E60,4)))</f>
        <v>-</v>
      </c>
      <c r="F8" s="56" t="str">
        <f>IF(ISERROR(ROUND(SUMPRODUCT(($C$162:$C$243=B8)*($H$162:$H$243=$F$6)*($O$162:$O$243))/F60,4)),"-",(ROUND(SUMPRODUCT(($C$162:$C$243=B8)*($H$162:$H$243=$F$6)*($O$162:$O$243))/F60,4)))</f>
        <v>-</v>
      </c>
      <c r="G8" s="56">
        <f>IF(ISERROR(ROUND(SUMPRODUCT(($C$162:$C$243=B8)*($H$162:$H$243=$G$6)*($O$162:$O$243))/G60,4)),"-",(ROUND(SUMPRODUCT(($C$162:$C$243=B8)*($H$162:$H$243=$G$6)*($O$162:$O$243))/G60,4)))</f>
        <v>0.0085</v>
      </c>
      <c r="H8" s="86" t="str">
        <f>IF(ISERROR(ROUND(SUMPRODUCT(($C$162:$C$243=B8)*($H$162:$H$243=$H$6)*($O$162:$O$243))/H60,4)),"-",(ROUND(SUMPRODUCT(($C$162:$C$243=B8)*($H$162:$H$243=$H$6)*($O$162:$O$243))/H60,4)))</f>
        <v>-</v>
      </c>
      <c r="J8" s="66"/>
      <c r="L8" s="68"/>
      <c r="M8" s="68"/>
      <c r="N8" s="54"/>
      <c r="O8" s="55"/>
    </row>
    <row r="9" spans="1:15" s="52" customFormat="1" ht="11.25">
      <c r="A9" s="64"/>
      <c r="B9" s="85" t="s">
        <v>1140</v>
      </c>
      <c r="C9" s="69">
        <f>IF(ISERROR(ROUND(SUMPRODUCT(($C$162:$C$243=B9)*($H$162:$H$243=$C$6)*($O$162:$O$243))/C61,4)),"-",(ROUND(SUMPRODUCT(($C$162:$C$243=B9)*($H$162:$H$243=$C$6)*($O$162:$O$243))/C61,4)))</f>
        <v>0.0247</v>
      </c>
      <c r="D9" s="69" t="str">
        <f>IF(ISERROR(ROUND(SUMPRODUCT(($C$162:$C$243=B9)*($H$162:$H$243=$D$6)*($O$162:$O$243))/D61,4)),"-",(ROUND(SUMPRODUCT(($C$162:$C$243=B9)*($H$162:$H$243=$D$6)*($O$162:$O$243))/D61,4)))</f>
        <v>-</v>
      </c>
      <c r="E9" s="29" t="str">
        <f>IF(ISERROR(ROUND(SUMPRODUCT(($C$162:$C$243=B9)*($H$162:$H$243=$E$6)*($O$162:$O$243))/E61,4)),"-",(ROUND(SUMPRODUCT(($C$162:$C$243=B9)*($H$162:$H$243=$E$6)*($O$162:$O$243))/E61,4)))</f>
        <v>-</v>
      </c>
      <c r="F9" s="56" t="str">
        <f>IF(ISERROR(ROUND(SUMPRODUCT(($C$162:$C$243=B9)*($H$162:$H$243=$F$6)*($O$162:$O$243))/F61,4)),"-",(ROUND(SUMPRODUCT(($C$162:$C$243=B9)*($H$162:$H$243=$F$6)*($O$162:$O$243))/F61,4)))</f>
        <v>-</v>
      </c>
      <c r="G9" s="56" t="str">
        <f>IF(ISERROR(ROUND(SUMPRODUCT(($C$162:$C$243=B9)*($H$162:$H$243=$G$6)*($O$162:$O$243))/G61,4)),"-",(ROUND(SUMPRODUCT(($C$162:$C$243=B9)*($H$162:$H$243=$G$6)*($O$162:$O$243))/G61,4)))</f>
        <v>-</v>
      </c>
      <c r="H9" s="86" t="str">
        <f>IF(ISERROR(ROUND(SUMPRODUCT(($C$162:$C$243=B9)*($H$162:$H$243=$H$6)*($O$162:$O$243))/H61,4)),"-",(ROUND(SUMPRODUCT(($C$162:$C$243=B9)*($H$162:$H$243=$H$6)*($O$162:$O$243))/H61,4)))</f>
        <v>-</v>
      </c>
      <c r="J9" s="66"/>
      <c r="L9" s="68"/>
      <c r="M9" s="68"/>
      <c r="N9" s="54"/>
      <c r="O9" s="55"/>
    </row>
    <row r="10" spans="1:15" s="52" customFormat="1" ht="11.25">
      <c r="A10" s="64"/>
      <c r="B10" s="85" t="s">
        <v>168</v>
      </c>
      <c r="C10" s="69" t="str">
        <f>IF(ISERROR(ROUND(SUMPRODUCT(($C$162:$C$243=B10)*($H$162:$H$243=$C$6)*($O$162:$O$243))/C62,4)),"-",(ROUND(SUMPRODUCT(($C$162:$C$243=B10)*($H$162:$H$243=$C$6)*($O$162:$O$243))/C62,4)))</f>
        <v>-</v>
      </c>
      <c r="D10" s="69">
        <f>IF(ISERROR(ROUND(SUMPRODUCT(($C$162:$C$243=B10)*($H$162:$H$243=$D$6)*($O$162:$O$243))/D62,4)),"-",(ROUND(SUMPRODUCT(($C$162:$C$243=B10)*($H$162:$H$243=$D$6)*($O$162:$O$243))/D62,4)))</f>
        <v>0.0351</v>
      </c>
      <c r="E10" s="29" t="str">
        <f>IF(ISERROR(ROUND(SUMPRODUCT(($C$162:$C$243=B10)*($H$162:$H$243=$E$6)*($O$162:$O$243))/E62,4)),"-",(ROUND(SUMPRODUCT(($C$162:$C$243=B10)*($H$162:$H$243=$E$6)*($O$162:$O$243))/E62,4)))</f>
        <v>-</v>
      </c>
      <c r="F10" s="56">
        <f>IF(ISERROR(ROUND(SUMPRODUCT(($C$162:$C$243=B10)*($H$162:$H$243=$F$6)*($O$162:$O$243))/F62,4)),"-",(ROUND(SUMPRODUCT(($C$162:$C$243=B10)*($H$162:$H$243=$F$6)*($O$162:$O$243))/F62,4)))</f>
        <v>0.0161</v>
      </c>
      <c r="G10" s="56" t="str">
        <f>IF(ISERROR(ROUND(SUMPRODUCT(($C$162:$C$243=B10)*($H$162:$H$243=$G$6)*($O$162:$O$243))/G62,4)),"-",(ROUND(SUMPRODUCT(($C$162:$C$243=B10)*($H$162:$H$243=$G$6)*($O$162:$O$243))/G62,4)))</f>
        <v>-</v>
      </c>
      <c r="H10" s="86" t="str">
        <f>IF(ISERROR(ROUND(SUMPRODUCT(($C$162:$C$243=B10)*($H$162:$H$243=$H$6)*($O$162:$O$243))/H62,4)),"-",(ROUND(SUMPRODUCT(($C$162:$C$243=B10)*($H$162:$H$243=$H$6)*($O$162:$O$243))/H62,4)))</f>
        <v>-</v>
      </c>
      <c r="J10" s="66"/>
      <c r="L10" s="68"/>
      <c r="M10" s="68"/>
      <c r="N10" s="54"/>
      <c r="O10" s="55"/>
    </row>
    <row r="11" spans="1:15" s="52" customFormat="1" ht="11.25">
      <c r="A11" s="64"/>
      <c r="B11" s="85" t="s">
        <v>624</v>
      </c>
      <c r="C11" s="69" t="str">
        <f>IF(ISERROR(ROUND(SUMPRODUCT(($C$162:$C$243=B11)*($H$162:$H$243=$C$6)*($O$162:$O$243))/C63,4)),"-",(ROUND(SUMPRODUCT(($C$162:$C$243=B11)*($H$162:$H$243=$C$6)*($O$162:$O$243))/C63,4)))</f>
        <v>-</v>
      </c>
      <c r="D11" s="69" t="str">
        <f>IF(ISERROR(ROUND(SUMPRODUCT(($C$162:$C$243=B11)*($H$162:$H$243=$D$6)*($O$162:$O$243))/D63,4)),"-",(ROUND(SUMPRODUCT(($C$162:$C$243=B11)*($H$162:$H$243=$D$6)*($O$162:$O$243))/D63,4)))</f>
        <v>-</v>
      </c>
      <c r="E11" s="29" t="str">
        <f>IF(ISERROR(ROUND(SUMPRODUCT(($C$162:$C$243=B11)*($H$162:$H$243=$E$6)*($O$162:$O$243))/E63,4)),"-",(ROUND(SUMPRODUCT(($C$162:$C$243=B11)*($H$162:$H$243=$E$6)*($O$162:$O$243))/E63,4)))</f>
        <v>-</v>
      </c>
      <c r="F11" s="56" t="str">
        <f>IF(ISERROR(ROUND(SUMPRODUCT(($C$162:$C$243=B11)*($H$162:$H$243=$F$6)*($O$162:$O$243))/F63,4)),"-",(ROUND(SUMPRODUCT(($C$162:$C$243=B11)*($H$162:$H$243=$F$6)*($O$162:$O$243))/F63,4)))</f>
        <v>-</v>
      </c>
      <c r="G11" s="56" t="str">
        <f>IF(ISERROR(ROUND(SUMPRODUCT(($C$162:$C$243=B11)*($H$162:$H$243=$G$6)*($O$162:$O$243))/G63,4)),"-",(ROUND(SUMPRODUCT(($C$162:$C$243=B11)*($H$162:$H$243=$G$6)*($O$162:$O$243))/G63,4)))</f>
        <v>-</v>
      </c>
      <c r="H11" s="86" t="str">
        <f>IF(ISERROR(ROUND(SUMPRODUCT(($C$162:$C$243=B11)*($H$162:$H$243=$H$6)*($O$162:$O$243))/H63,4)),"-",(ROUND(SUMPRODUCT(($C$162:$C$243=B11)*($H$162:$H$243=$H$6)*($O$162:$O$243))/H63,4)))</f>
        <v>-</v>
      </c>
      <c r="J11" s="66"/>
      <c r="L11" s="68"/>
      <c r="M11" s="68"/>
      <c r="N11" s="54"/>
      <c r="O11" s="55"/>
    </row>
    <row r="12" spans="1:15" s="52" customFormat="1" ht="11.25">
      <c r="A12" s="64"/>
      <c r="B12" s="85" t="s">
        <v>786</v>
      </c>
      <c r="C12" s="69" t="str">
        <f>IF(ISERROR(ROUND(SUMPRODUCT(($C$162:$C$243=B12)*($H$162:$H$243=$C$6)*($O$162:$O$243))/C64,4)),"-",(ROUND(SUMPRODUCT(($C$162:$C$243=B12)*($H$162:$H$243=$C$6)*($O$162:$O$243))/C64,4)))</f>
        <v>-</v>
      </c>
      <c r="D12" s="69" t="str">
        <f>IF(ISERROR(ROUND(SUMPRODUCT(($C$162:$C$243=B12)*($H$162:$H$243=$D$6)*($O$162:$O$243))/D64,4)),"-",(ROUND(SUMPRODUCT(($C$162:$C$243=B12)*($H$162:$H$243=$D$6)*($O$162:$O$243))/D64,4)))</f>
        <v>-</v>
      </c>
      <c r="E12" s="29" t="str">
        <f>IF(ISERROR(ROUND(SUMPRODUCT(($C$162:$C$243=B12)*($H$162:$H$243=$E$6)*($O$162:$O$243))/E64,4)),"-",(ROUND(SUMPRODUCT(($C$162:$C$243=B12)*($H$162:$H$243=$E$6)*($O$162:$O$243))/E64,4)))</f>
        <v>-</v>
      </c>
      <c r="F12" s="56" t="str">
        <f>IF(ISERROR(ROUND(SUMPRODUCT(($C$162:$C$243=B12)*($H$162:$H$243=$F$6)*($O$162:$O$243))/F64,4)),"-",(ROUND(SUMPRODUCT(($C$162:$C$243=B12)*($H$162:$H$243=$F$6)*($O$162:$O$243))/F64,4)))</f>
        <v>-</v>
      </c>
      <c r="G12" s="56">
        <f>IF(ISERROR(ROUND(SUMPRODUCT(($C$162:$C$243=B12)*($H$162:$H$243=$G$6)*($O$162:$O$243))/G64,4)),"-",(ROUND(SUMPRODUCT(($C$162:$C$243=B12)*($H$162:$H$243=$G$6)*($O$162:$O$243))/G64,4)))</f>
        <v>0.0242</v>
      </c>
      <c r="H12" s="86" t="str">
        <f>IF(ISERROR(ROUND(SUMPRODUCT(($C$162:$C$243=B12)*($H$162:$H$243=$H$6)*($O$162:$O$243))/H64,4)),"-",(ROUND(SUMPRODUCT(($C$162:$C$243=B12)*($H$162:$H$243=$H$6)*($O$162:$O$243))/H64,4)))</f>
        <v>-</v>
      </c>
      <c r="J12" s="66"/>
      <c r="L12" s="68"/>
      <c r="M12" s="68"/>
      <c r="N12" s="54"/>
      <c r="O12" s="55"/>
    </row>
    <row r="13" spans="1:15" s="52" customFormat="1" ht="11.25">
      <c r="A13" s="64"/>
      <c r="B13" s="85" t="s">
        <v>224</v>
      </c>
      <c r="C13" s="69">
        <f>IF(ISERROR(ROUND(SUMPRODUCT(($C$162:$C$243=B13)*($H$162:$H$243=$C$6)*($O$162:$O$243))/C65,4)),"-",(ROUND(SUMPRODUCT(($C$162:$C$243=B13)*($H$162:$H$243=$C$6)*($O$162:$O$243))/C65,4)))</f>
        <v>0.0294</v>
      </c>
      <c r="D13" s="69" t="str">
        <f>IF(ISERROR(ROUND(SUMPRODUCT(($C$162:$C$243=B13)*($H$162:$H$243=$D$6)*($O$162:$O$243))/D65,4)),"-",(ROUND(SUMPRODUCT(($C$162:$C$243=B13)*($H$162:$H$243=$D$6)*($O$162:$O$243))/D65,4)))</f>
        <v>-</v>
      </c>
      <c r="E13" s="29" t="str">
        <f>IF(ISERROR(ROUND(SUMPRODUCT(($C$162:$C$243=B13)*($H$162:$H$243=$E$6)*($O$162:$O$243))/E65,4)),"-",(ROUND(SUMPRODUCT(($C$162:$C$243=B13)*($H$162:$H$243=$E$6)*($O$162:$O$243))/E65,4)))</f>
        <v>-</v>
      </c>
      <c r="F13" s="56" t="str">
        <f>IF(ISERROR(ROUND(SUMPRODUCT(($C$162:$C$243=B13)*($H$162:$H$243=$F$6)*($O$162:$O$243))/F65,4)),"-",(ROUND(SUMPRODUCT(($C$162:$C$243=B13)*($H$162:$H$243=$F$6)*($O$162:$O$243))/F65,4)))</f>
        <v>-</v>
      </c>
      <c r="G13" s="56" t="str">
        <f>IF(ISERROR(ROUND(SUMPRODUCT(($C$162:$C$243=B13)*($H$162:$H$243=$G$6)*($O$162:$O$243))/G65,4)),"-",(ROUND(SUMPRODUCT(($C$162:$C$243=B13)*($H$162:$H$243=$G$6)*($O$162:$O$243))/G65,4)))</f>
        <v>-</v>
      </c>
      <c r="H13" s="86" t="str">
        <f>IF(ISERROR(ROUND(SUMPRODUCT(($C$162:$C$243=B13)*($H$162:$H$243=$H$6)*($O$162:$O$243))/H65,4)),"-",(ROUND(SUMPRODUCT(($C$162:$C$243=B13)*($H$162:$H$243=$H$6)*($O$162:$O$243))/H65,4)))</f>
        <v>-</v>
      </c>
      <c r="J13" s="66"/>
      <c r="L13" s="68"/>
      <c r="M13" s="68"/>
      <c r="N13" s="54"/>
      <c r="O13" s="55"/>
    </row>
    <row r="14" spans="1:15" s="52" customFormat="1" ht="11.25">
      <c r="A14" s="64"/>
      <c r="B14" s="85" t="s">
        <v>8</v>
      </c>
      <c r="C14" s="69">
        <f>IF(ISERROR(ROUND(SUMPRODUCT(($C$162:$C$243=B14)*($H$162:$H$243=$C$6)*($O$162:$O$243))/C66,4)),"-",(ROUND(SUMPRODUCT(($C$162:$C$243=B14)*($H$162:$H$243=$C$6)*($O$162:$O$243))/C66,4)))</f>
        <v>0.0314</v>
      </c>
      <c r="D14" s="69">
        <f>IF(ISERROR(ROUND(SUMPRODUCT(($C$162:$C$243=B14)*($H$162:$H$243=$D$6)*($O$162:$O$243))/D66,4)),"-",(ROUND(SUMPRODUCT(($C$162:$C$243=B14)*($H$162:$H$243=$D$6)*($O$162:$O$243))/D66,4)))</f>
        <v>0.019</v>
      </c>
      <c r="E14" s="29" t="str">
        <f>IF(ISERROR(ROUND(SUMPRODUCT(($C$162:$C$243=B14)*($H$162:$H$243=$E$6)*($O$162:$O$243))/E66,4)),"-",(ROUND(SUMPRODUCT(($C$162:$C$243=B14)*($H$162:$H$243=$E$6)*($O$162:$O$243))/E66,4)))</f>
        <v>-</v>
      </c>
      <c r="F14" s="56" t="str">
        <f>IF(ISERROR(ROUND(SUMPRODUCT(($C$162:$C$243=B14)*($H$162:$H$243=$F$6)*($O$162:$O$243))/F66,4)),"-",(ROUND(SUMPRODUCT(($C$162:$C$243=B14)*($H$162:$H$243=$F$6)*($O$162:$O$243))/F66,4)))</f>
        <v>-</v>
      </c>
      <c r="G14" s="56" t="str">
        <f>IF(ISERROR(ROUND(SUMPRODUCT(($C$162:$C$243=B14)*($H$162:$H$243=$G$6)*($O$162:$O$243))/G66,4)),"-",(ROUND(SUMPRODUCT(($C$162:$C$243=B14)*($H$162:$H$243=$G$6)*($O$162:$O$243))/G66,4)))</f>
        <v>-</v>
      </c>
      <c r="H14" s="86" t="str">
        <f>IF(ISERROR(ROUND(SUMPRODUCT(($C$162:$C$243=B14)*($H$162:$H$243=$H$6)*($O$162:$O$243))/H66,4)),"-",(ROUND(SUMPRODUCT(($C$162:$C$243=B14)*($H$162:$H$243=$H$6)*($O$162:$O$243))/H66,4)))</f>
        <v>-</v>
      </c>
      <c r="J14" s="66"/>
      <c r="L14" s="68"/>
      <c r="M14" s="68"/>
      <c r="N14" s="54"/>
      <c r="O14" s="55"/>
    </row>
    <row r="15" spans="1:15" s="52" customFormat="1" ht="11.25">
      <c r="A15" s="64"/>
      <c r="B15" s="85" t="s">
        <v>702</v>
      </c>
      <c r="C15" s="69" t="str">
        <f>IF(ISERROR(ROUND(SUMPRODUCT(($C$162:$C$243=B15)*($H$162:$H$243=$C$6)*($O$162:$O$243))/C67,4)),"-",(ROUND(SUMPRODUCT(($C$162:$C$243=B15)*($H$162:$H$243=$C$6)*($O$162:$O$243))/C67,4)))</f>
        <v>-</v>
      </c>
      <c r="D15" s="69" t="str">
        <f>IF(ISERROR(ROUND(SUMPRODUCT(($C$162:$C$243=B15)*($H$162:$H$243=$D$6)*($O$162:$O$243))/D67,4)),"-",(ROUND(SUMPRODUCT(($C$162:$C$243=B15)*($H$162:$H$243=$D$6)*($O$162:$O$243))/D67,4)))</f>
        <v>-</v>
      </c>
      <c r="E15" s="29" t="str">
        <f>IF(ISERROR(ROUND(SUMPRODUCT(($C$162:$C$243=B15)*($H$162:$H$243=$E$6)*($O$162:$O$243))/E67,4)),"-",(ROUND(SUMPRODUCT(($C$162:$C$243=B15)*($H$162:$H$243=$E$6)*($O$162:$O$243))/E67,4)))</f>
        <v>-</v>
      </c>
      <c r="F15" s="56" t="str">
        <f>IF(ISERROR(ROUND(SUMPRODUCT(($C$162:$C$243=B15)*($H$162:$H$243=$F$6)*($O$162:$O$243))/F67,4)),"-",(ROUND(SUMPRODUCT(($C$162:$C$243=B15)*($H$162:$H$243=$F$6)*($O$162:$O$243))/F67,4)))</f>
        <v>-</v>
      </c>
      <c r="G15" s="56" t="str">
        <f>IF(ISERROR(ROUND(SUMPRODUCT(($C$162:$C$243=B15)*($H$162:$H$243=$G$6)*($O$162:$O$243))/G67,4)),"-",(ROUND(SUMPRODUCT(($C$162:$C$243=B15)*($H$162:$H$243=$G$6)*($O$162:$O$243))/G67,4)))</f>
        <v>-</v>
      </c>
      <c r="H15" s="86" t="str">
        <f>IF(ISERROR(ROUND(SUMPRODUCT(($C$162:$C$243=B15)*($H$162:$H$243=$H$6)*($O$162:$O$243))/H67,4)),"-",(ROUND(SUMPRODUCT(($C$162:$C$243=B15)*($H$162:$H$243=$H$6)*($O$162:$O$243))/H67,4)))</f>
        <v>-</v>
      </c>
      <c r="J15" s="66"/>
      <c r="L15" s="68"/>
      <c r="M15" s="68"/>
      <c r="N15" s="54"/>
      <c r="O15" s="55"/>
    </row>
    <row r="16" spans="1:15" s="52" customFormat="1" ht="11.25">
      <c r="A16" s="64"/>
      <c r="B16" s="85" t="s">
        <v>691</v>
      </c>
      <c r="C16" s="69" t="str">
        <f>IF(ISERROR(ROUND(SUMPRODUCT(($C$162:$C$243=B16)*($H$162:$H$243=$C$6)*($O$162:$O$243))/C68,4)),"-",(ROUND(SUMPRODUCT(($C$162:$C$243=B16)*($H$162:$H$243=$C$6)*($O$162:$O$243))/C68,4)))</f>
        <v>-</v>
      </c>
      <c r="D16" s="69" t="str">
        <f>IF(ISERROR(ROUND(SUMPRODUCT(($C$162:$C$243=B16)*($H$162:$H$243=$D$6)*($O$162:$O$243))/D68,4)),"-",(ROUND(SUMPRODUCT(($C$162:$C$243=B16)*($H$162:$H$243=$D$6)*($O$162:$O$243))/D68,4)))</f>
        <v>-</v>
      </c>
      <c r="E16" s="29" t="str">
        <f>IF(ISERROR(ROUND(SUMPRODUCT(($C$162:$C$243=B16)*($H$162:$H$243=$E$6)*($O$162:$O$243))/E68,4)),"-",(ROUND(SUMPRODUCT(($C$162:$C$243=B16)*($H$162:$H$243=$E$6)*($O$162:$O$243))/E68,4)))</f>
        <v>-</v>
      </c>
      <c r="F16" s="56" t="str">
        <f>IF(ISERROR(ROUND(SUMPRODUCT(($C$162:$C$243=B16)*($H$162:$H$243=$F$6)*($O$162:$O$243))/F68,4)),"-",(ROUND(SUMPRODUCT(($C$162:$C$243=B16)*($H$162:$H$243=$F$6)*($O$162:$O$243))/F68,4)))</f>
        <v>-</v>
      </c>
      <c r="G16" s="56">
        <f>IF(ISERROR(ROUND(SUMPRODUCT(($C$162:$C$243=B16)*($H$162:$H$243=$G$6)*($O$162:$O$243))/G68,4)),"-",(ROUND(SUMPRODUCT(($C$162:$C$243=B16)*($H$162:$H$243=$G$6)*($O$162:$O$243))/G68,4)))</f>
        <v>0.0131</v>
      </c>
      <c r="H16" s="86" t="str">
        <f>IF(ISERROR(ROUND(SUMPRODUCT(($C$162:$C$243=B16)*($H$162:$H$243=$H$6)*($O$162:$O$243))/H68,4)),"-",(ROUND(SUMPRODUCT(($C$162:$C$243=B16)*($H$162:$H$243=$H$6)*($O$162:$O$243))/H68,4)))</f>
        <v>-</v>
      </c>
      <c r="J16" s="66"/>
      <c r="L16" s="68"/>
      <c r="M16" s="68"/>
      <c r="N16" s="54"/>
      <c r="O16" s="55"/>
    </row>
    <row r="17" spans="1:15" s="52" customFormat="1" ht="11.25">
      <c r="A17" s="64"/>
      <c r="B17" s="85" t="s">
        <v>463</v>
      </c>
      <c r="C17" s="69" t="str">
        <f>IF(ISERROR(ROUND(SUMPRODUCT(($C$162:$C$243=B17)*($H$162:$H$243=$C$6)*($O$162:$O$243))/C69,4)),"-",(ROUND(SUMPRODUCT(($C$162:$C$243=B17)*($H$162:$H$243=$C$6)*($O$162:$O$243))/C69,4)))</f>
        <v>-</v>
      </c>
      <c r="D17" s="69">
        <f>IF(ISERROR(ROUND(SUMPRODUCT(($C$162:$C$243=B17)*($H$162:$H$243=$D$6)*($O$162:$O$243))/D69,4)),"-",(ROUND(SUMPRODUCT(($C$162:$C$243=B17)*($H$162:$H$243=$D$6)*($O$162:$O$243))/D69,4)))</f>
        <v>0.0157</v>
      </c>
      <c r="E17" s="29" t="str">
        <f>IF(ISERROR(ROUND(SUMPRODUCT(($C$162:$C$243=B17)*($H$162:$H$243=$E$6)*($O$162:$O$243))/E69,4)),"-",(ROUND(SUMPRODUCT(($C$162:$C$243=B17)*($H$162:$H$243=$E$6)*($O$162:$O$243))/E69,4)))</f>
        <v>-</v>
      </c>
      <c r="F17" s="56" t="str">
        <f>IF(ISERROR(ROUND(SUMPRODUCT(($C$162:$C$243=B17)*($H$162:$H$243=$F$6)*($O$162:$O$243))/F69,4)),"-",(ROUND(SUMPRODUCT(($C$162:$C$243=B17)*($H$162:$H$243=$F$6)*($O$162:$O$243))/F69,4)))</f>
        <v>-</v>
      </c>
      <c r="G17" s="56" t="str">
        <f>IF(ISERROR(ROUND(SUMPRODUCT(($C$162:$C$243=B17)*($H$162:$H$243=$G$6)*($O$162:$O$243))/G69,4)),"-",(ROUND(SUMPRODUCT(($C$162:$C$243=B17)*($H$162:$H$243=$G$6)*($O$162:$O$243))/G69,4)))</f>
        <v>-</v>
      </c>
      <c r="H17" s="86" t="str">
        <f>IF(ISERROR(ROUND(SUMPRODUCT(($C$162:$C$243=B17)*($H$162:$H$243=$H$6)*($O$162:$O$243))/H69,4)),"-",(ROUND(SUMPRODUCT(($C$162:$C$243=B17)*($H$162:$H$243=$H$6)*($O$162:$O$243))/H69,4)))</f>
        <v>-</v>
      </c>
      <c r="J17" s="66"/>
      <c r="L17" s="68"/>
      <c r="M17" s="68"/>
      <c r="N17" s="54"/>
      <c r="O17" s="55"/>
    </row>
    <row r="18" spans="1:15" s="52" customFormat="1" ht="11.25">
      <c r="A18" s="64"/>
      <c r="B18" s="85" t="s">
        <v>1033</v>
      </c>
      <c r="C18" s="69" t="str">
        <f>IF(ISERROR(ROUND(SUMPRODUCT(($C$162:$C$243=B18)*($H$162:$H$243=$C$6)*($O$162:$O$243))/C70,4)),"-",(ROUND(SUMPRODUCT(($C$162:$C$243=B18)*($H$162:$H$243=$C$6)*($O$162:$O$243))/C70,4)))</f>
        <v>-</v>
      </c>
      <c r="D18" s="69" t="str">
        <f>IF(ISERROR(ROUND(SUMPRODUCT(($C$162:$C$243=B18)*($H$162:$H$243=$D$6)*($O$162:$O$243))/D70,4)),"-",(ROUND(SUMPRODUCT(($C$162:$C$243=B18)*($H$162:$H$243=$D$6)*($O$162:$O$243))/D70,4)))</f>
        <v>-</v>
      </c>
      <c r="E18" s="29">
        <f>IF(ISERROR(ROUND(SUMPRODUCT(($C$162:$C$243=B18)*($H$162:$H$243=$E$6)*($O$162:$O$243))/E70,4)),"-",(ROUND(SUMPRODUCT(($C$162:$C$243=B18)*($H$162:$H$243=$E$6)*($O$162:$O$243))/E70,4)))</f>
        <v>0.0091</v>
      </c>
      <c r="F18" s="56" t="str">
        <f>IF(ISERROR(ROUND(SUMPRODUCT(($C$162:$C$243=B18)*($H$162:$H$243=$F$6)*($O$162:$O$243))/F70,4)),"-",(ROUND(SUMPRODUCT(($C$162:$C$243=B18)*($H$162:$H$243=$F$6)*($O$162:$O$243))/F70,4)))</f>
        <v>-</v>
      </c>
      <c r="G18" s="56" t="str">
        <f>IF(ISERROR(ROUND(SUMPRODUCT(($C$162:$C$243=B18)*($H$162:$H$243=$G$6)*($O$162:$O$243))/G70,4)),"-",(ROUND(SUMPRODUCT(($C$162:$C$243=B18)*($H$162:$H$243=$G$6)*($O$162:$O$243))/G70,4)))</f>
        <v>-</v>
      </c>
      <c r="H18" s="86">
        <f>IF(ISERROR(ROUND(SUMPRODUCT(($C$162:$C$243=B18)*($H$162:$H$243=$H$6)*($O$162:$O$243))/H70,4)),"-",(ROUND(SUMPRODUCT(($C$162:$C$243=B18)*($H$162:$H$243=$H$6)*($O$162:$O$243))/H70,4)))</f>
        <v>0.0106</v>
      </c>
      <c r="J18" s="66"/>
      <c r="L18" s="68"/>
      <c r="M18" s="68"/>
      <c r="N18" s="54"/>
      <c r="O18" s="55"/>
    </row>
    <row r="19" spans="1:15" s="52" customFormat="1" ht="11.25">
      <c r="A19" s="64"/>
      <c r="B19" s="91" t="s">
        <v>126</v>
      </c>
      <c r="C19" s="99">
        <f>IF(ISERROR(ROUND(SUMPRODUCT(C8:C18,C60:C70)/SUM(C60:C70),4)),"-",ROUND(SUMPRODUCT(C8:C18,C60:C70)/SUM(C60:C70),4))</f>
        <v>0.0285</v>
      </c>
      <c r="D19" s="99">
        <f>IF(ISERROR(ROUND(SUMPRODUCT(D8:D18,D60:D70)/SUM(D60:D70),4)),"-",ROUND(SUMPRODUCT(D8:D18,D60:D70)/SUM(D60:D70),4))</f>
        <v>0.0247</v>
      </c>
      <c r="E19" s="99"/>
      <c r="F19" s="99">
        <f>IF(ISERROR(ROUND(SUMPRODUCT(F8:F18,F60:F70)/SUM(F60:F70),4)),"-",ROUND(SUMPRODUCT(F8:F18,F60:F70)/SUM(F60:F70),4))</f>
        <v>0.0161</v>
      </c>
      <c r="G19" s="99">
        <f>IF(ISERROR(ROUND(SUMPRODUCT(G8:G18,G60:G70)/SUM(G60:G70),4)),"-",ROUND(SUMPRODUCT(G8:G18,G60:G70)/SUM(G60:G70),4))</f>
        <v>0.0153</v>
      </c>
      <c r="H19" s="100">
        <f>IF(ISERROR(ROUND(SUMPRODUCT(H8:H18,H60:H70)/SUM(H60:H70),4)),"-",ROUND(SUMPRODUCT(H8:H18,H60:H70)/SUM(H60:H70),4))</f>
        <v>0.0106</v>
      </c>
      <c r="J19" s="66"/>
      <c r="L19" s="68"/>
      <c r="M19" s="68"/>
      <c r="N19" s="54"/>
      <c r="O19" s="55"/>
    </row>
    <row r="20" spans="1:15" s="52" customFormat="1" ht="18.75">
      <c r="A20" s="64"/>
      <c r="B20" s="93" t="s">
        <v>789</v>
      </c>
      <c r="C20" s="94"/>
      <c r="D20" s="94"/>
      <c r="E20" s="94"/>
      <c r="F20" s="94"/>
      <c r="G20" s="94"/>
      <c r="H20" s="95"/>
      <c r="J20" s="66"/>
      <c r="L20" s="68"/>
      <c r="M20" s="68"/>
      <c r="N20" s="54"/>
      <c r="O20" s="55"/>
    </row>
    <row r="21" spans="1:15" s="52" customFormat="1" ht="11.25">
      <c r="A21" s="64"/>
      <c r="B21" s="85" t="s">
        <v>379</v>
      </c>
      <c r="C21" s="69" t="str">
        <f>IF(ISERROR(ROUND(SUMPRODUCT(($C$297:$C$386=B21)*($H$297:$H$386=$C$6)*($O$297:$O$386))/C73,4)),"-",(ROUND(SUMPRODUCT(($C$297:$C$386=B21)*($H$297:$H$386=$C$6)*($O$297:$O$386))/C73,4)))</f>
        <v>-</v>
      </c>
      <c r="D21" s="76" t="str">
        <f>IF(ISERROR(ROUND(SUMPRODUCT(($C$297:$C$386=B21)*($H$297:$H$386=$D$6)*($O$297:$O$386))/D73,4)),"-",(ROUND(SUMPRODUCT(($C$297:$C$386=B21)*($H$297:$H$386=$D$6)*($O$297:$O$386))/D73,4)))</f>
        <v>-</v>
      </c>
      <c r="E21" s="29" t="str">
        <f>IF(ISERROR(ROUND(SUMPRODUCT(($C$297:$C$386=B21)*($H$297:$H$386=$E$6)*($O$297:$O$386))/E73,4)),"-",(ROUND(SUMPRODUCT(($C$297:$C$386=B21)*($H$297:$H$386=$E$6)*($O$297:$O$386))/E73,4)))</f>
        <v>-</v>
      </c>
      <c r="F21" s="56" t="str">
        <f>IF(ISERROR(ROUND(SUMPRODUCT(($C$297:$C$386=B21)*($H$297:$H$386=$F$6)*($O$297:$O$386))/F73,4)),"-",(ROUND(SUMPRODUCT(($C$297:$C$386=B21)*($H$297:$H$386=$F$6)*($O$297:$O$386))/F73,4)))</f>
        <v>-</v>
      </c>
      <c r="G21" s="56" t="str">
        <f>IF(ISERROR(ROUND(SUMPRODUCT(($C$297:$C$386=B21)*($H$297:$H$386=$G$6)*($O$297:$O$386))/G73,4)),"-",(ROUND(SUMPRODUCT(($C$297:$C$386=B21)*($H$297:$H$386=$G$6)*($O$297:$O$386))/G73,4)))</f>
        <v>-</v>
      </c>
      <c r="H21" s="86">
        <f>IF(ISERROR(ROUND(SUMPRODUCT(($C$297:$C$386=B21)*($H$297:$H$386=$H$6)*($O$297:$O$386))/H73,4)),"-",(ROUND(SUMPRODUCT(($C$297:$C$386=B21)*($H$297:$H$386=$H$6)*($O$297:$O$386))/H73,4)))</f>
        <v>0.0023</v>
      </c>
      <c r="J21" s="66"/>
      <c r="L21" s="68"/>
      <c r="M21" s="68"/>
      <c r="N21" s="54"/>
      <c r="O21" s="55"/>
    </row>
    <row r="22" spans="1:15" s="52" customFormat="1" ht="11.25">
      <c r="A22" s="64"/>
      <c r="B22" s="85" t="s">
        <v>148</v>
      </c>
      <c r="C22" s="69" t="str">
        <f>IF(ISERROR(ROUND(SUMPRODUCT(($C$297:$C$386=B22)*($H$297:$H$386=$C$6)*($O$297:$O$386))/C74,4)),"-",(ROUND(SUMPRODUCT(($C$297:$C$386=B22)*($H$297:$H$386=$C$6)*($O$297:$O$386))/C74,4)))</f>
        <v>-</v>
      </c>
      <c r="D22" s="69" t="str">
        <f>IF(ISERROR(ROUND(SUMPRODUCT(($C$297:$C$386=B22)*($H$297:$H$386=$D$6)*($O$297:$O$386))/D74,4)),"-",(ROUND(SUMPRODUCT(($C$297:$C$386=B22)*($H$297:$H$386=$D$6)*($O$297:$O$386))/D74,4)))</f>
        <v>-</v>
      </c>
      <c r="E22" s="29" t="str">
        <f>IF(ISERROR(ROUND(SUMPRODUCT(($C$297:$C$386=B22)*($H$297:$H$386=$E$6)*($O$297:$O$386))/E74,4)),"-",(ROUND(SUMPRODUCT(($C$297:$C$386=B22)*($H$297:$H$386=$E$6)*($O$297:$O$386))/E74,4)))</f>
        <v>-</v>
      </c>
      <c r="F22" s="56" t="str">
        <f>IF(ISERROR(ROUND(SUMPRODUCT(($C$297:$C$386=B22)*($H$297:$H$386=$F$6)*($O$297:$O$386))/F74,4)),"-",(ROUND(SUMPRODUCT(($C$297:$C$386=B22)*($H$297:$H$386=$F$6)*($O$297:$O$386))/F74,4)))</f>
        <v>-</v>
      </c>
      <c r="G22" s="56" t="str">
        <f>IF(ISERROR(ROUND(SUMPRODUCT(($C$297:$C$386=B22)*($H$297:$H$386=$G$6)*($O$297:$O$386))/G74,4)),"-",(ROUND(SUMPRODUCT(($C$297:$C$386=B22)*($H$297:$H$386=$G$6)*($O$297:$O$386))/G74,4)))</f>
        <v>-</v>
      </c>
      <c r="H22" s="86" t="str">
        <f>IF(ISERROR(ROUND(SUMPRODUCT(($C$297:$C$386=B22)*($H$297:$H$386=$H$6)*($O$297:$O$386))/H74,4)),"-",(ROUND(SUMPRODUCT(($C$297:$C$386=B22)*($H$297:$H$386=$H$6)*($O$297:$O$386))/H74,4)))</f>
        <v>-</v>
      </c>
      <c r="J22" s="66"/>
      <c r="L22" s="68"/>
      <c r="M22" s="68"/>
      <c r="N22" s="54"/>
      <c r="O22" s="55"/>
    </row>
    <row r="23" spans="1:15" s="52" customFormat="1" ht="11.25">
      <c r="A23" s="64"/>
      <c r="B23" s="85" t="s">
        <v>1069</v>
      </c>
      <c r="C23" s="69" t="str">
        <f>IF(ISERROR(ROUND(SUMPRODUCT(($C$297:$C$386=B23)*($H$297:$H$386=$C$6)*($O$297:$O$386))/C75,4)),"-",(ROUND(SUMPRODUCT(($C$297:$C$386=B23)*($H$297:$H$386=$C$6)*($O$297:$O$386))/C75,4)))</f>
        <v>-</v>
      </c>
      <c r="D23" s="69">
        <f>IF(ISERROR(ROUND(SUMPRODUCT(($C$297:$C$386=B23)*($H$297:$H$386=$D$6)*($O$297:$O$386))/D75,4)),"-",(ROUND(SUMPRODUCT(($C$297:$C$386=B23)*($H$297:$H$386=$D$6)*($O$297:$O$386))/D75,4)))</f>
        <v>0.0181</v>
      </c>
      <c r="E23" s="29" t="str">
        <f>IF(ISERROR(ROUND(SUMPRODUCT(($C$297:$C$386=B23)*($H$297:$H$386=$E$6)*($O$297:$O$386))/E75,4)),"-",(ROUND(SUMPRODUCT(($C$297:$C$386=B23)*($H$297:$H$386=$E$6)*($O$297:$O$386))/E75,4)))</f>
        <v>-</v>
      </c>
      <c r="F23" s="56" t="str">
        <f>IF(ISERROR(ROUND(SUMPRODUCT(($C$297:$C$386=B23)*($H$297:$H$386=$F$6)*($O$297:$O$386))/F75,4)),"-",(ROUND(SUMPRODUCT(($C$297:$C$386=B23)*($H$297:$H$386=$F$6)*($O$297:$O$386))/F75,4)))</f>
        <v>-</v>
      </c>
      <c r="G23" s="56" t="str">
        <f>IF(ISERROR(ROUND(SUMPRODUCT(($C$297:$C$386=B23)*($H$297:$H$386=$G$6)*($O$297:$O$386))/G75,4)),"-",(ROUND(SUMPRODUCT(($C$297:$C$386=B23)*($H$297:$H$386=$G$6)*($O$297:$O$386))/G75,4)))</f>
        <v>-</v>
      </c>
      <c r="H23" s="86" t="str">
        <f>IF(ISERROR(ROUND(SUMPRODUCT(($C$297:$C$386=B23)*($H$297:$H$386=$H$6)*($O$297:$O$386))/H75,4)),"-",(ROUND(SUMPRODUCT(($C$297:$C$386=B23)*($H$297:$H$386=$H$6)*($O$297:$O$386))/H75,4)))</f>
        <v>-</v>
      </c>
      <c r="J23" s="66"/>
      <c r="L23" s="68"/>
      <c r="M23" s="68"/>
      <c r="N23" s="54"/>
      <c r="O23" s="55"/>
    </row>
    <row r="24" spans="1:15" s="52" customFormat="1" ht="11.25">
      <c r="A24" s="64"/>
      <c r="B24" s="85" t="s">
        <v>375</v>
      </c>
      <c r="C24" s="69" t="str">
        <f>IF(ISERROR(ROUND(SUMPRODUCT(($C$297:$C$386=B24)*($H$297:$H$386=$C$6)*($O$297:$O$386))/C76,4)),"-",(ROUND(SUMPRODUCT(($C$297:$C$386=B24)*($H$297:$H$386=$C$6)*($O$297:$O$386))/C76,4)))</f>
        <v>-</v>
      </c>
      <c r="D24" s="69" t="str">
        <f>IF(ISERROR(ROUND(SUMPRODUCT(($C$297:$C$386=B24)*($H$297:$H$386=$D$6)*($O$297:$O$386))/D76,4)),"-",(ROUND(SUMPRODUCT(($C$297:$C$386=B24)*($H$297:$H$386=$D$6)*($O$297:$O$386))/D76,4)))</f>
        <v>-</v>
      </c>
      <c r="E24" s="29" t="str">
        <f>IF(ISERROR(ROUND(SUMPRODUCT(($C$297:$C$386=B24)*($H$297:$H$386=$E$6)*($O$297:$O$386))/E76,4)),"-",(ROUND(SUMPRODUCT(($C$297:$C$386=B24)*($H$297:$H$386=$E$6)*($O$297:$O$386))/E76,4)))</f>
        <v>-</v>
      </c>
      <c r="F24" s="56" t="str">
        <f>IF(ISERROR(ROUND(SUMPRODUCT(($C$297:$C$386=B24)*($H$297:$H$386=$F$6)*($O$297:$O$386))/F76,4)),"-",(ROUND(SUMPRODUCT(($C$297:$C$386=B24)*($H$297:$H$386=$F$6)*($O$297:$O$386))/F76,4)))</f>
        <v>-</v>
      </c>
      <c r="G24" s="56" t="str">
        <f>IF(ISERROR(ROUND(SUMPRODUCT(($C$297:$C$386=B24)*($H$297:$H$386=$G$6)*($O$297:$O$386))/G76,4)),"-",(ROUND(SUMPRODUCT(($C$297:$C$386=B24)*($H$297:$H$386=$G$6)*($O$297:$O$386))/G76,4)))</f>
        <v>-</v>
      </c>
      <c r="H24" s="86">
        <f>IF(ISERROR(ROUND(SUMPRODUCT(($C$297:$C$386=B24)*($H$297:$H$386=$H$6)*($O$297:$O$386))/H76,4)),"-",(ROUND(SUMPRODUCT(($C$297:$C$386=B24)*($H$297:$H$386=$H$6)*($O$297:$O$386))/H76,4)))</f>
        <v>0.0023</v>
      </c>
      <c r="J24" s="66"/>
      <c r="L24" s="68"/>
      <c r="M24" s="68"/>
      <c r="N24" s="54"/>
      <c r="O24" s="55"/>
    </row>
    <row r="25" spans="1:15" s="52" customFormat="1" ht="11.25">
      <c r="A25" s="64"/>
      <c r="B25" s="85" t="s">
        <v>1132</v>
      </c>
      <c r="C25" s="69" t="str">
        <f>IF(ISERROR(ROUND(SUMPRODUCT(($C$297:$C$386=B25)*($H$297:$H$386=$C$6)*($O$297:$O$386))/C77,4)),"-",(ROUND(SUMPRODUCT(($C$297:$C$386=B25)*($H$297:$H$386=$C$6)*($O$297:$O$386))/C77,4)))</f>
        <v>-</v>
      </c>
      <c r="D25" s="69" t="str">
        <f>IF(ISERROR(ROUND(SUMPRODUCT(($C$297:$C$386=B25)*($H$297:$H$386=$D$6)*($O$297:$O$386))/D77,4)),"-",(ROUND(SUMPRODUCT(($C$297:$C$386=B25)*($H$297:$H$386=$D$6)*($O$297:$O$386))/D77,4)))</f>
        <v>-</v>
      </c>
      <c r="E25" s="29" t="str">
        <f>IF(ISERROR(ROUND(SUMPRODUCT(($C$297:$C$386=B25)*($H$297:$H$386=$E$6)*($O$297:$O$386))/E77,4)),"-",(ROUND(SUMPRODUCT(($C$297:$C$386=B25)*($H$297:$H$386=$E$6)*($O$297:$O$386))/E77,4)))</f>
        <v>-</v>
      </c>
      <c r="F25" s="56">
        <f>IF(ISERROR(ROUND(SUMPRODUCT(($C$297:$C$386=B25)*($H$297:$H$386=$F$6)*($O$297:$O$386))/F77,4)),"-",(ROUND(SUMPRODUCT(($C$297:$C$386=B25)*($H$297:$H$386=$F$6)*($O$297:$O$386))/F77,4)))</f>
        <v>0.0122</v>
      </c>
      <c r="G25" s="56" t="str">
        <f>IF(ISERROR(ROUND(SUMPRODUCT(($C$297:$C$386=B25)*($H$297:$H$386=$G$6)*($O$297:$O$386))/G77,4)),"-",(ROUND(SUMPRODUCT(($C$297:$C$386=B25)*($H$297:$H$386=$G$6)*($O$297:$O$386))/G77,4)))</f>
        <v>-</v>
      </c>
      <c r="H25" s="86" t="str">
        <f>IF(ISERROR(ROUND(SUMPRODUCT(($C$297:$C$386=B25)*($H$297:$H$386=$H$6)*($O$297:$O$386))/H77,4)),"-",(ROUND(SUMPRODUCT(($C$297:$C$386=B25)*($H$297:$H$386=$H$6)*($O$297:$O$386))/H77,4)))</f>
        <v>-</v>
      </c>
      <c r="J25" s="66"/>
      <c r="L25" s="68"/>
      <c r="M25" s="68"/>
      <c r="N25" s="54"/>
      <c r="O25" s="55"/>
    </row>
    <row r="26" spans="1:15" s="52" customFormat="1" ht="11.25">
      <c r="A26" s="64"/>
      <c r="B26" s="85" t="s">
        <v>804</v>
      </c>
      <c r="C26" s="69" t="str">
        <f>IF(ISERROR(ROUND(SUMPRODUCT(($C$297:$C$386=B26)*($H$297:$H$386=$C$6)*($O$297:$O$386))/C78,4)),"-",(ROUND(SUMPRODUCT(($C$297:$C$386=B26)*($H$297:$H$386=$C$6)*($O$297:$O$386))/C78,4)))</f>
        <v>-</v>
      </c>
      <c r="D26" s="69" t="str">
        <f>IF(ISERROR(ROUND(SUMPRODUCT(($C$297:$C$386=B26)*($H$297:$H$386=$D$6)*($O$297:$O$386))/D78,4)),"-",(ROUND(SUMPRODUCT(($C$297:$C$386=B26)*($H$297:$H$386=$D$6)*($O$297:$O$386))/D78,4)))</f>
        <v>-</v>
      </c>
      <c r="E26" s="29" t="str">
        <f>IF(ISERROR(ROUND(SUMPRODUCT(($C$297:$C$386=B26)*($H$297:$H$386=$E$6)*($O$297:$O$386))/E78,4)),"-",(ROUND(SUMPRODUCT(($C$297:$C$386=B26)*($H$297:$H$386=$E$6)*($O$297:$O$386))/E78,4)))</f>
        <v>-</v>
      </c>
      <c r="F26" s="56" t="str">
        <f>IF(ISERROR(ROUND(SUMPRODUCT(($C$297:$C$386=B26)*($H$297:$H$386=$F$6)*($O$297:$O$386))/F78,4)),"-",(ROUND(SUMPRODUCT(($C$297:$C$386=B26)*($H$297:$H$386=$F$6)*($O$297:$O$386))/F78,4)))</f>
        <v>-</v>
      </c>
      <c r="G26" s="56" t="str">
        <f>IF(ISERROR(ROUND(SUMPRODUCT(($C$297:$C$386=B26)*($H$297:$H$386=$G$6)*($O$297:$O$386))/G78,4)),"-",(ROUND(SUMPRODUCT(($C$297:$C$386=B26)*($H$297:$H$386=$G$6)*($O$297:$O$386))/G78,4)))</f>
        <v>-</v>
      </c>
      <c r="H26" s="86" t="str">
        <f>IF(ISERROR(ROUND(SUMPRODUCT(($C$297:$C$386=B26)*($H$297:$H$386=$H$6)*($O$297:$O$386))/H78,4)),"-",(ROUND(SUMPRODUCT(($C$297:$C$386=B26)*($H$297:$H$386=$H$6)*($O$297:$O$386))/H78,4)))</f>
        <v>-</v>
      </c>
      <c r="J26" s="66"/>
      <c r="L26" s="68"/>
      <c r="M26" s="68"/>
      <c r="N26" s="54"/>
      <c r="O26" s="55"/>
    </row>
    <row r="27" spans="1:15" s="52" customFormat="1" ht="11.25">
      <c r="A27" s="64"/>
      <c r="B27" s="85" t="s">
        <v>810</v>
      </c>
      <c r="C27" s="69" t="str">
        <f>IF(ISERROR(ROUND(SUMPRODUCT(($C$297:$C$386=B27)*($H$297:$H$386=$C$6)*($O$297:$O$386))/C79,4)),"-",(ROUND(SUMPRODUCT(($C$297:$C$386=B27)*($H$297:$H$386=$C$6)*($O$297:$O$386))/C79,4)))</f>
        <v>-</v>
      </c>
      <c r="D27" s="69">
        <f>IF(ISERROR(ROUND(SUMPRODUCT(($C$297:$C$386=B27)*($H$297:$H$386=$D$6)*($O$297:$O$386))/D79,4)),"-",(ROUND(SUMPRODUCT(($C$297:$C$386=B27)*($H$297:$H$386=$D$6)*($O$297:$O$386))/D79,4)))</f>
        <v>0.0261</v>
      </c>
      <c r="E27" s="29" t="str">
        <f>IF(ISERROR(ROUND(SUMPRODUCT(($C$297:$C$386=B27)*($H$297:$H$386=$E$6)*($O$297:$O$386))/E79,4)),"-",(ROUND(SUMPRODUCT(($C$297:$C$386=B27)*($H$297:$H$386=$E$6)*($O$297:$O$386))/E79,4)))</f>
        <v>-</v>
      </c>
      <c r="F27" s="56">
        <f>IF(ISERROR(ROUND(SUMPRODUCT(($C$297:$C$386=B27)*($H$297:$H$386=$F$6)*($O$297:$O$386))/F79,4)),"-",(ROUND(SUMPRODUCT(($C$297:$C$386=B27)*($H$297:$H$386=$F$6)*($O$297:$O$386))/F79,4)))</f>
        <v>0.017</v>
      </c>
      <c r="G27" s="56" t="str">
        <f>IF(ISERROR(ROUND(SUMPRODUCT(($C$297:$C$386=B27)*($H$297:$H$386=$G$6)*($O$297:$O$386))/G79,4)),"-",(ROUND(SUMPRODUCT(($C$297:$C$386=B27)*($H$297:$H$386=$G$6)*($O$297:$O$386))/G79,4)))</f>
        <v>-</v>
      </c>
      <c r="H27" s="86" t="str">
        <f>IF(ISERROR(ROUND(SUMPRODUCT(($C$297:$C$386=B27)*($H$297:$H$386=$H$6)*($O$297:$O$386))/H79,4)),"-",(ROUND(SUMPRODUCT(($C$297:$C$386=B27)*($H$297:$H$386=$H$6)*($O$297:$O$386))/H79,4)))</f>
        <v>-</v>
      </c>
      <c r="J27" s="66"/>
      <c r="L27" s="68"/>
      <c r="M27" s="68"/>
      <c r="N27" s="54"/>
      <c r="O27" s="55"/>
    </row>
    <row r="28" spans="1:15" s="52" customFormat="1" ht="11.25">
      <c r="A28" s="64"/>
      <c r="B28" s="85" t="s">
        <v>1164</v>
      </c>
      <c r="C28" s="69" t="str">
        <f>IF(ISERROR(ROUND(SUMPRODUCT(($C$297:$C$386=B28)*($H$297:$H$386=$C$6)*($O$297:$O$386))/C80,4)),"-",(ROUND(SUMPRODUCT(($C$297:$C$386=B28)*($H$297:$H$386=$C$6)*($O$297:$O$386))/C80,4)))</f>
        <v>-</v>
      </c>
      <c r="D28" s="69" t="str">
        <f>IF(ISERROR(ROUND(SUMPRODUCT(($C$297:$C$386=B28)*($H$297:$H$386=$D$6)*($O$297:$O$386))/D80,4)),"-",(ROUND(SUMPRODUCT(($C$297:$C$386=B28)*($H$297:$H$386=$D$6)*($O$297:$O$386))/D80,4)))</f>
        <v>-</v>
      </c>
      <c r="E28" s="29" t="str">
        <f>IF(ISERROR(ROUND(SUMPRODUCT(($C$297:$C$386=B28)*($H$297:$H$386=$E$6)*($O$297:$O$386))/E80,4)),"-",(ROUND(SUMPRODUCT(($C$297:$C$386=B28)*($H$297:$H$386=$E$6)*($O$297:$O$386))/E80,4)))</f>
        <v>-</v>
      </c>
      <c r="F28" s="56" t="str">
        <f>IF(ISERROR(ROUND(SUMPRODUCT(($C$297:$C$386=B28)*($H$297:$H$386=$F$6)*($O$297:$O$386))/F80,4)),"-",(ROUND(SUMPRODUCT(($C$297:$C$386=B28)*($H$297:$H$386=$F$6)*($O$297:$O$386))/F80,4)))</f>
        <v>-</v>
      </c>
      <c r="G28" s="56" t="str">
        <f>IF(ISERROR(ROUND(SUMPRODUCT(($C$297:$C$386=B28)*($H$297:$H$386=$G$6)*($O$297:$O$386))/G80,4)),"-",(ROUND(SUMPRODUCT(($C$297:$C$386=B28)*($H$297:$H$386=$G$6)*($O$297:$O$386))/G80,4)))</f>
        <v>-</v>
      </c>
      <c r="H28" s="86">
        <f>IF(ISERROR(ROUND(SUMPRODUCT(($C$297:$C$386=B28)*($H$297:$H$386=$H$6)*($O$297:$O$386))/H80,4)),"-",(ROUND(SUMPRODUCT(($C$297:$C$386=B28)*($H$297:$H$386=$H$6)*($O$297:$O$386))/H80,4)))</f>
        <v>0.0077</v>
      </c>
      <c r="J28" s="66"/>
      <c r="L28" s="68"/>
      <c r="M28" s="68"/>
      <c r="N28" s="54"/>
      <c r="O28" s="55"/>
    </row>
    <row r="29" spans="1:15" s="52" customFormat="1" ht="11.25">
      <c r="A29" s="64"/>
      <c r="B29" s="85" t="s">
        <v>927</v>
      </c>
      <c r="C29" s="69" t="str">
        <f>IF(ISERROR(ROUND(SUMPRODUCT(($C$297:$C$386=B29)*($H$297:$H$386=$C$6)*($O$297:$O$386))/C81,4)),"-",(ROUND(SUMPRODUCT(($C$297:$C$386=B29)*($H$297:$H$386=$C$6)*($O$297:$O$386))/C81,4)))</f>
        <v>-</v>
      </c>
      <c r="D29" s="69" t="str">
        <f>IF(ISERROR(ROUND(SUMPRODUCT(($C$297:$C$386=B29)*($H$297:$H$386=$D$6)*($O$297:$O$386))/D81,4)),"-",(ROUND(SUMPRODUCT(($C$297:$C$386=B29)*($H$297:$H$386=$D$6)*($O$297:$O$386))/D81,4)))</f>
        <v>-</v>
      </c>
      <c r="E29" s="29" t="str">
        <f>IF(ISERROR(ROUND(SUMPRODUCT(($C$297:$C$386=B29)*($H$297:$H$386=$E$6)*($O$297:$O$386))/E81,4)),"-",(ROUND(SUMPRODUCT(($C$297:$C$386=B29)*($H$297:$H$386=$E$6)*($O$297:$O$386))/E81,4)))</f>
        <v>-</v>
      </c>
      <c r="F29" s="56" t="str">
        <f>IF(ISERROR(ROUND(SUMPRODUCT(($C$297:$C$386=B29)*($H$297:$H$386=$F$6)*($O$297:$O$386))/F81,4)),"-",(ROUND(SUMPRODUCT(($C$297:$C$386=B29)*($H$297:$H$386=$F$6)*($O$297:$O$386))/F81,4)))</f>
        <v>-</v>
      </c>
      <c r="G29" s="56" t="str">
        <f>IF(ISERROR(ROUND(SUMPRODUCT(($C$297:$C$386=B29)*($H$297:$H$386=$G$6)*($O$297:$O$386))/G81,4)),"-",(ROUND(SUMPRODUCT(($C$297:$C$386=B29)*($H$297:$H$386=$G$6)*($O$297:$O$386))/G81,4)))</f>
        <v>-</v>
      </c>
      <c r="H29" s="86" t="str">
        <f>IF(ISERROR(ROUND(SUMPRODUCT(($C$297:$C$386=B29)*($H$297:$H$386=$H$6)*($O$297:$O$386))/H81,4)),"-",(ROUND(SUMPRODUCT(($C$297:$C$386=B29)*($H$297:$H$386=$H$6)*($O$297:$O$386))/H81,4)))</f>
        <v>-</v>
      </c>
      <c r="J29" s="66"/>
      <c r="L29" s="68"/>
      <c r="M29" s="68"/>
      <c r="N29" s="54"/>
      <c r="O29" s="55"/>
    </row>
    <row r="30" spans="1:15" s="52" customFormat="1" ht="11.25">
      <c r="A30" s="64"/>
      <c r="B30" s="85" t="s">
        <v>1073</v>
      </c>
      <c r="C30" s="69" t="str">
        <f>IF(ISERROR(ROUND(SUMPRODUCT(($C$297:$C$386=B30)*($H$297:$H$386=$C$6)*($O$297:$O$386))/C82,4)),"-",(ROUND(SUMPRODUCT(($C$297:$C$386=B30)*($H$297:$H$386=$C$6)*($O$297:$O$386))/C82,4)))</f>
        <v>-</v>
      </c>
      <c r="D30" s="69" t="str">
        <f>IF(ISERROR(ROUND(SUMPRODUCT(($C$297:$C$386=B30)*($H$297:$H$386=$D$6)*($O$297:$O$386))/D82,4)),"-",(ROUND(SUMPRODUCT(($C$297:$C$386=B30)*($H$297:$H$386=$D$6)*($O$297:$O$386))/D82,4)))</f>
        <v>-</v>
      </c>
      <c r="E30" s="29" t="str">
        <f>IF(ISERROR(ROUND(SUMPRODUCT(($C$297:$C$386=B30)*($H$297:$H$386=$E$6)*($O$297:$O$386))/E82,4)),"-",(ROUND(SUMPRODUCT(($C$297:$C$386=B30)*($H$297:$H$386=$E$6)*($O$297:$O$386))/E82,4)))</f>
        <v>-</v>
      </c>
      <c r="F30" s="56">
        <f>IF(ISERROR(ROUND(SUMPRODUCT(($C$297:$C$386=B30)*($H$297:$H$386=$F$6)*($O$297:$O$386))/F82,4)),"-",(ROUND(SUMPRODUCT(($C$297:$C$386=B30)*($H$297:$H$386=$F$6)*($O$297:$O$386))/F82,4)))</f>
        <v>0.0101</v>
      </c>
      <c r="G30" s="56" t="str">
        <f>IF(ISERROR(ROUND(SUMPRODUCT(($C$297:$C$386=B30)*($H$297:$H$386=$G$6)*($O$297:$O$386))/G82,4)),"-",(ROUND(SUMPRODUCT(($C$297:$C$386=B30)*($H$297:$H$386=$G$6)*($O$297:$O$386))/G82,4)))</f>
        <v>-</v>
      </c>
      <c r="H30" s="86">
        <f>IF(ISERROR(ROUND(SUMPRODUCT(($C$297:$C$386=B30)*($H$297:$H$386=$H$6)*($O$297:$O$386))/H82,4)),"-",(ROUND(SUMPRODUCT(($C$297:$C$386=B30)*($H$297:$H$386=$H$6)*($O$297:$O$386))/H82,4)))</f>
        <v>0.0074</v>
      </c>
      <c r="J30" s="66"/>
      <c r="L30" s="68"/>
      <c r="M30" s="68"/>
      <c r="N30" s="54"/>
      <c r="O30" s="55"/>
    </row>
    <row r="31" spans="1:15" s="52" customFormat="1" ht="11.25">
      <c r="A31" s="64"/>
      <c r="B31" s="91" t="s">
        <v>125</v>
      </c>
      <c r="C31" s="99"/>
      <c r="D31" s="99">
        <f>IF(ISERROR(ROUND(SUMPRODUCT(D21:D30,D73:D82)/SUM(D73:D82),4)),"-",ROUND(SUMPRODUCT(D21:D30,D73:D82)/SUM(D73:D82),4))</f>
        <v>0.0186</v>
      </c>
      <c r="E31" s="99"/>
      <c r="F31" s="99">
        <f>IF(ISERROR(ROUND(SUMPRODUCT(F21:F30,F73:F82)/SUM(F73:F82),4)),"-",ROUND(SUMPRODUCT(F21:F30,F73:F82)/SUM(F73:F82),4))</f>
        <v>0.0116</v>
      </c>
      <c r="G31" s="99"/>
      <c r="H31" s="100">
        <f>IF(ISERROR(ROUND(SUMPRODUCT(H21:H30,H73:H82)/SUM(H73:H82),4)),"-",ROUND(SUMPRODUCT(H21:H30,H73:H82)/SUM(H73:H82),4))</f>
        <v>0.0038</v>
      </c>
      <c r="J31" s="66"/>
      <c r="L31" s="68"/>
      <c r="M31" s="68"/>
      <c r="N31" s="54"/>
      <c r="O31" s="55"/>
    </row>
    <row r="32" spans="1:15" s="52" customFormat="1" ht="18.75">
      <c r="A32" s="64"/>
      <c r="B32" s="93" t="s">
        <v>313</v>
      </c>
      <c r="C32" s="94"/>
      <c r="D32" s="94"/>
      <c r="E32" s="94"/>
      <c r="F32" s="94"/>
      <c r="G32" s="94"/>
      <c r="H32" s="95"/>
      <c r="J32" s="66"/>
      <c r="L32" s="68"/>
      <c r="M32" s="68"/>
      <c r="N32" s="54"/>
      <c r="O32" s="55"/>
    </row>
    <row r="33" spans="1:15" s="52" customFormat="1" ht="11.25">
      <c r="A33" s="64"/>
      <c r="B33" s="85" t="s">
        <v>699</v>
      </c>
      <c r="C33" s="69" t="str">
        <f>IF(ISERROR(ROUND(SUMPRODUCT(($C$456:$C$540=B33)*($H$456:$H$540=$C$6)*($O$456:$O$540))/C85,4)),"-",(ROUND(SUMPRODUCT(($C$456:$C$540=B33)*($H$456:$H$540=$C$6)*($O$456:$O$540))/C85,4)))</f>
        <v>-</v>
      </c>
      <c r="D33" s="69">
        <f>IF(ISERROR(ROUND(SUMPRODUCT(($C$456:$C$540=B33)*($H$456:$H$540=$D$6)*($O$456:$O$540))/D85,4)),"-",(ROUND(SUMPRODUCT(($C$456:$C$540=B33)*($H$456:$H$540=$D$6)*($O$456:$O$540))/D85,4)))</f>
        <v>0.0219</v>
      </c>
      <c r="E33" s="29" t="str">
        <f>IF(ISERROR(ROUND(SUMPRODUCT(($C$456:$C$540=B33)*($H$456:$H$540=$E$6)*($O$456:$O$540))/E85,4)),"-",(ROUND(SUMPRODUCT(($C$456:$C$540=B33)*($H$456:$H$540=$E$6)*($O$456:$O$540))/E85,4)))</f>
        <v>-</v>
      </c>
      <c r="F33" s="56" t="str">
        <f>IF(ISERROR(ROUND(SUMPRODUCT(($C$456:$C$540=B33)*($H$456:$H$540=$F$6)*($O$456:$O$540))/F85,4)),"-",(ROUND(SUMPRODUCT(($C$456:$C$540=B33)*($H$456:$H$540=$F$6)*($O$456:$O$540))/F85,4)))</f>
        <v>-</v>
      </c>
      <c r="G33" s="56" t="str">
        <f>IF(ISERROR(ROUND(SUMPRODUCT(($C$456:$C$540=B33)*($H$456:$H$540=$G$6)*($O$456:$O$540))/G85,4)),"-",(ROUND(SUMPRODUCT(($C$456:$C$540=B33)*($H$456:$H$540=$G$6)*($O$456:$O$540))/G85,4)))</f>
        <v>-</v>
      </c>
      <c r="H33" s="86" t="str">
        <f>IF(ISERROR(ROUND(SUMPRODUCT(($C$456:$C$540=B33)*($H$456:$H$540=$H$6)*($O$456:$O$540))/H85,4)),"-",(ROUND(SUMPRODUCT(($C$456:$C$540=B33)*($H$456:$H$540=$H$6)*($O$456:$O$540))/H85,4)))</f>
        <v>-</v>
      </c>
      <c r="J33" s="66"/>
      <c r="L33" s="68"/>
      <c r="M33" s="68"/>
      <c r="N33" s="54"/>
      <c r="O33" s="55"/>
    </row>
    <row r="34" spans="1:15" s="52" customFormat="1" ht="11.25">
      <c r="A34" s="64"/>
      <c r="B34" s="85" t="s">
        <v>781</v>
      </c>
      <c r="C34" s="69" t="str">
        <f>IF(ISERROR(ROUND(SUMPRODUCT(($C$456:$C$540=B34)*($H$456:$H$540=$C$6)*($O$456:$O$540))/C86,4)),"-",(ROUND(SUMPRODUCT(($C$456:$C$540=B34)*($H$456:$H$540=$C$6)*($O$456:$O$540))/C86,4)))</f>
        <v>-</v>
      </c>
      <c r="D34" s="69" t="str">
        <f>IF(ISERROR(ROUND(SUMPRODUCT(($C$456:$C$540=B34)*($H$456:$H$540=$D$6)*($O$456:$O$540))/D86,4)),"-",(ROUND(SUMPRODUCT(($C$456:$C$540=B34)*($H$456:$H$540=$D$6)*($O$456:$O$540))/D86,4)))</f>
        <v>-</v>
      </c>
      <c r="E34" s="29" t="str">
        <f>IF(ISERROR(ROUND(SUMPRODUCT(($C$456:$C$540=B34)*($H$456:$H$540=$E$6)*($O$456:$O$540))/E86,4)),"-",(ROUND(SUMPRODUCT(($C$456:$C$540=B34)*($H$456:$H$540=$E$6)*($O$456:$O$540))/E86,4)))</f>
        <v>-</v>
      </c>
      <c r="F34" s="56" t="str">
        <f>IF(ISERROR(ROUND(SUMPRODUCT(($C$456:$C$540=B34)*($H$456:$H$540=$F$6)*($O$456:$O$540))/F86,4)),"-",(ROUND(SUMPRODUCT(($C$456:$C$540=B34)*($H$456:$H$540=$F$6)*($O$456:$O$540))/F86,4)))</f>
        <v>-</v>
      </c>
      <c r="G34" s="56" t="str">
        <f>IF(ISERROR(ROUND(SUMPRODUCT(($C$456:$C$540=B34)*($H$456:$H$540=$G$6)*($O$456:$O$540))/G86,4)),"-",(ROUND(SUMPRODUCT(($C$456:$C$540=B34)*($H$456:$H$540=$G$6)*($O$456:$O$540))/G86,4)))</f>
        <v>-</v>
      </c>
      <c r="H34" s="86" t="str">
        <f>IF(ISERROR(ROUND(SUMPRODUCT(($C$456:$C$540=B34)*($H$456:$H$540=$H$6)*($O$456:$O$540))/H86,4)),"-",(ROUND(SUMPRODUCT(($C$456:$C$540=B34)*($H$456:$H$540=$H$6)*($O$456:$O$540))/H86,4)))</f>
        <v>-</v>
      </c>
      <c r="J34" s="66"/>
      <c r="L34" s="68"/>
      <c r="M34" s="68"/>
      <c r="N34" s="54"/>
      <c r="O34" s="55"/>
    </row>
    <row r="35" spans="1:15" s="52" customFormat="1" ht="11.25">
      <c r="A35" s="64"/>
      <c r="B35" s="85" t="s">
        <v>246</v>
      </c>
      <c r="C35" s="69" t="str">
        <f>IF(ISERROR(ROUND(SUMPRODUCT(($C$456:$C$540=B35)*($H$456:$H$540=$C$6)*($O$456:$O$540))/C87,4)),"-",(ROUND(SUMPRODUCT(($C$456:$C$540=B35)*($H$456:$H$540=$C$6)*($O$456:$O$540))/C87,4)))</f>
        <v>-</v>
      </c>
      <c r="D35" s="69">
        <f>IF(ISERROR(ROUND(SUMPRODUCT(($C$456:$C$540=B35)*($H$456:$H$540=$D$6)*($O$456:$O$540))/D87,4)),"-",(ROUND(SUMPRODUCT(($C$456:$C$540=B35)*($H$456:$H$540=$D$6)*($O$456:$O$540))/D87,4)))</f>
        <v>0.0273</v>
      </c>
      <c r="E35" s="29" t="str">
        <f>IF(ISERROR(ROUND(SUMPRODUCT(($C$456:$C$540=B35)*($H$456:$H$540=$E$6)*($O$456:$O$540))/E87,4)),"-",(ROUND(SUMPRODUCT(($C$456:$C$540=B35)*($H$456:$H$540=$E$6)*($O$456:$O$540))/E87,4)))</f>
        <v>-</v>
      </c>
      <c r="F35" s="56">
        <f>IF(ISERROR(ROUND(SUMPRODUCT(($C$456:$C$540=B35)*($H$456:$H$540=$F$6)*($O$456:$O$540))/F87,4)),"-",(ROUND(SUMPRODUCT(($C$456:$C$540=B35)*($H$456:$H$540=$F$6)*($O$456:$O$540))/F87,4)))</f>
        <v>0.007</v>
      </c>
      <c r="G35" s="56" t="str">
        <f>IF(ISERROR(ROUND(SUMPRODUCT(($C$456:$C$540=B35)*($H$456:$H$540=$G$6)*($O$456:$O$540))/G87,4)),"-",(ROUND(SUMPRODUCT(($C$456:$C$540=B35)*($H$456:$H$540=$G$6)*($O$456:$O$540))/G87,4)))</f>
        <v>-</v>
      </c>
      <c r="H35" s="86" t="str">
        <f>IF(ISERROR(ROUND(SUMPRODUCT(($C$456:$C$540=B35)*($H$456:$H$540=$H$6)*($O$456:$O$540))/H87,4)),"-",(ROUND(SUMPRODUCT(($C$456:$C$540=B35)*($H$456:$H$540=$H$6)*($O$456:$O$540))/H87,4)))</f>
        <v>-</v>
      </c>
      <c r="J35" s="66"/>
      <c r="L35" s="68"/>
      <c r="M35" s="68"/>
      <c r="N35" s="54"/>
      <c r="O35" s="55"/>
    </row>
    <row r="36" spans="1:15" s="52" customFormat="1" ht="11.25">
      <c r="A36" s="64"/>
      <c r="B36" s="85" t="s">
        <v>145</v>
      </c>
      <c r="C36" s="69" t="str">
        <f>IF(ISERROR(ROUND(SUMPRODUCT(($C$456:$C$540=B36)*($H$456:$H$540=$C$6)*($O$456:$O$540))/C88,4)),"-",(ROUND(SUMPRODUCT(($C$456:$C$540=B36)*($H$456:$H$540=$C$6)*($O$456:$O$540))/C88,4)))</f>
        <v>-</v>
      </c>
      <c r="D36" s="69">
        <f>IF(ISERROR(ROUND(SUMPRODUCT(($C$456:$C$540=B36)*($H$456:$H$540=$D$6)*($O$456:$O$540))/D88,4)),"-",(ROUND(SUMPRODUCT(($C$456:$C$540=B36)*($H$456:$H$540=$D$6)*($O$456:$O$540))/D88,4)))</f>
        <v>0.0226</v>
      </c>
      <c r="E36" s="29" t="str">
        <f>IF(ISERROR(ROUND(SUMPRODUCT(($C$456:$C$540=B36)*($H$456:$H$540=$E$6)*($O$456:$O$540))/E88,4)),"-",(ROUND(SUMPRODUCT(($C$456:$C$540=B36)*($H$456:$H$540=$E$6)*($O$456:$O$540))/E88,4)))</f>
        <v>-</v>
      </c>
      <c r="F36" s="56" t="str">
        <f>IF(ISERROR(ROUND(SUMPRODUCT(($C$456:$C$540=B36)*($H$456:$H$540=$F$6)*($O$456:$O$540))/F88,4)),"-",(ROUND(SUMPRODUCT(($C$456:$C$540=B36)*($H$456:$H$540=$F$6)*($O$456:$O$540))/F88,4)))</f>
        <v>-</v>
      </c>
      <c r="G36" s="56" t="str">
        <f>IF(ISERROR(ROUND(SUMPRODUCT(($C$456:$C$540=B36)*($H$456:$H$540=$G$6)*($O$456:$O$540))/G88,4)),"-",(ROUND(SUMPRODUCT(($C$456:$C$540=B36)*($H$456:$H$540=$G$6)*($O$456:$O$540))/G88,4)))</f>
        <v>-</v>
      </c>
      <c r="H36" s="86" t="str">
        <f>IF(ISERROR(ROUND(SUMPRODUCT(($C$456:$C$540=B36)*($H$456:$H$540=$H$6)*($O$456:$O$540))/H88,4)),"-",(ROUND(SUMPRODUCT(($C$456:$C$540=B36)*($H$456:$H$540=$H$6)*($O$456:$O$540))/H88,4)))</f>
        <v>-</v>
      </c>
      <c r="J36" s="66"/>
      <c r="L36" s="68"/>
      <c r="M36" s="68"/>
      <c r="N36" s="54"/>
      <c r="O36" s="55"/>
    </row>
    <row r="37" spans="1:15" s="52" customFormat="1" ht="11.25">
      <c r="A37" s="64"/>
      <c r="B37" s="85" t="s">
        <v>1047</v>
      </c>
      <c r="C37" s="69" t="str">
        <f>IF(ISERROR(ROUND(SUMPRODUCT(($C$456:$C$540=B37)*($H$456:$H$540=$C$6)*($O$456:$O$540))/C89,4)),"-",(ROUND(SUMPRODUCT(($C$456:$C$540=B37)*($H$456:$H$540=$C$6)*($O$456:$O$540))/C89,4)))</f>
        <v>-</v>
      </c>
      <c r="D37" s="69">
        <f>IF(ISERROR(ROUND(SUMPRODUCT(($C$456:$C$540=B37)*($H$456:$H$540=$D$6)*($O$456:$O$540))/D89,4)),"-",(ROUND(SUMPRODUCT(($C$456:$C$540=B37)*($H$456:$H$540=$D$6)*($O$456:$O$540))/D89,4)))</f>
        <v>0.0228</v>
      </c>
      <c r="E37" s="29" t="str">
        <f>IF(ISERROR(ROUND(SUMPRODUCT(($C$456:$C$540=B37)*($H$456:$H$540=$E$6)*($O$456:$O$540))/E89,4)),"-",(ROUND(SUMPRODUCT(($C$456:$C$540=B37)*($H$456:$H$540=$E$6)*($O$456:$O$540))/E89,4)))</f>
        <v>-</v>
      </c>
      <c r="F37" s="56">
        <f>IF(ISERROR(ROUND(SUMPRODUCT(($C$456:$C$540=B37)*($H$456:$H$540=$F$6)*($O$456:$O$540))/F89,4)),"-",(ROUND(SUMPRODUCT(($C$456:$C$540=B37)*($H$456:$H$540=$F$6)*($O$456:$O$540))/F89,4)))</f>
        <v>0.008</v>
      </c>
      <c r="G37" s="56" t="str">
        <f>IF(ISERROR(ROUND(SUMPRODUCT(($C$456:$C$540=B37)*($H$456:$H$540=$G$6)*($O$456:$O$540))/G89,4)),"-",(ROUND(SUMPRODUCT(($C$456:$C$540=B37)*($H$456:$H$540=$G$6)*($O$456:$O$540))/G89,4)))</f>
        <v>-</v>
      </c>
      <c r="H37" s="86" t="str">
        <f>IF(ISERROR(ROUND(SUMPRODUCT(($C$456:$C$540=B37)*($H$456:$H$540=$H$6)*($O$456:$O$540))/H89,4)),"-",(ROUND(SUMPRODUCT(($C$456:$C$540=B37)*($H$456:$H$540=$H$6)*($O$456:$O$540))/H89,4)))</f>
        <v>-</v>
      </c>
      <c r="N37" s="54"/>
      <c r="O37" s="55"/>
    </row>
    <row r="38" spans="1:15" s="52" customFormat="1" ht="11.25">
      <c r="A38" s="64"/>
      <c r="B38" s="85" t="s">
        <v>1010</v>
      </c>
      <c r="C38" s="69" t="str">
        <f>IF(ISERROR(ROUND(SUMPRODUCT(($C$456:$C$540=B38)*($H$456:$H$540=$C$6)*($O$456:$O$540))/C90,4)),"-",(ROUND(SUMPRODUCT(($C$456:$C$540=B38)*($H$456:$H$540=$C$6)*($O$456:$O$540))/C90,4)))</f>
        <v>-</v>
      </c>
      <c r="D38" s="69" t="str">
        <f>IF(ISERROR(ROUND(SUMPRODUCT(($C$456:$C$540=B38)*($H$456:$H$540=$D$6)*($O$456:$O$540))/D90,4)),"-",(ROUND(SUMPRODUCT(($C$456:$C$540=B38)*($H$456:$H$540=$D$6)*($O$456:$O$540))/D90,4)))</f>
        <v>-</v>
      </c>
      <c r="E38" s="29" t="str">
        <f>IF(ISERROR(ROUND(SUMPRODUCT(($C$456:$C$540=B38)*($H$456:$H$540=$E$6)*($O$456:$O$540))/E90,4)),"-",(ROUND(SUMPRODUCT(($C$456:$C$540=B38)*($H$456:$H$540=$E$6)*($O$456:$O$540))/E90,4)))</f>
        <v>-</v>
      </c>
      <c r="F38" s="56">
        <f>IF(ISERROR(ROUND(SUMPRODUCT(($C$456:$C$540=B38)*($H$456:$H$540=$F$6)*($O$456:$O$540))/F90,4)),"-",(ROUND(SUMPRODUCT(($C$456:$C$540=B38)*($H$456:$H$540=$F$6)*($O$456:$O$540))/F90,4)))</f>
        <v>0.0258</v>
      </c>
      <c r="G38" s="56" t="str">
        <f>IF(ISERROR(ROUND(SUMPRODUCT(($C$456:$C$540=B38)*($H$456:$H$540=$G$6)*($O$456:$O$540))/G90,4)),"-",(ROUND(SUMPRODUCT(($C$456:$C$540=B38)*($H$456:$H$540=$G$6)*($O$456:$O$540))/G90,4)))</f>
        <v>-</v>
      </c>
      <c r="H38" s="86" t="str">
        <f>IF(ISERROR(ROUND(SUMPRODUCT(($C$456:$C$540=B38)*($H$456:$H$540=$H$6)*($O$456:$O$540))/H90,4)),"-",(ROUND(SUMPRODUCT(($C$456:$C$540=B38)*($H$456:$H$540=$H$6)*($O$456:$O$540))/H90,4)))</f>
        <v>-</v>
      </c>
      <c r="N38" s="54"/>
      <c r="O38" s="55"/>
    </row>
    <row r="39" spans="1:15" s="52" customFormat="1" ht="11.25">
      <c r="A39" s="64"/>
      <c r="B39" s="85" t="s">
        <v>1157</v>
      </c>
      <c r="C39" s="69" t="str">
        <f>IF(ISERROR(ROUND(SUMPRODUCT(($C$456:$C$540=B39)*($H$456:$H$540=$C$6)*($O$456:$O$540))/C91,4)),"-",(ROUND(SUMPRODUCT(($C$456:$C$540=B39)*($H$456:$H$540=$C$6)*($O$456:$O$540))/C91,4)))</f>
        <v>-</v>
      </c>
      <c r="D39" s="69" t="str">
        <f>IF(ISERROR(ROUND(SUMPRODUCT(($C$456:$C$540=B39)*($H$456:$H$540=$D$6)*($O$456:$O$540))/D91,4)),"-",(ROUND(SUMPRODUCT(($C$456:$C$540=B39)*($H$456:$H$540=$D$6)*($O$456:$O$540))/D91,4)))</f>
        <v>-</v>
      </c>
      <c r="E39" s="29" t="str">
        <f>IF(ISERROR(ROUND(SUMPRODUCT(($C$456:$C$540=B39)*($H$456:$H$540=$E$6)*($O$456:$O$540))/E91,4)),"-",(ROUND(SUMPRODUCT(($C$456:$C$540=B39)*($H$456:$H$540=$E$6)*($O$456:$O$540))/E91,4)))</f>
        <v>-</v>
      </c>
      <c r="F39" s="56" t="str">
        <f>IF(ISERROR(ROUND(SUMPRODUCT(($C$456:$C$540=B39)*($H$456:$H$540=$F$6)*($O$456:$O$540))/F91,4)),"-",(ROUND(SUMPRODUCT(($C$456:$C$540=B39)*($H$456:$H$540=$F$6)*($O$456:$O$540))/F91,4)))</f>
        <v>-</v>
      </c>
      <c r="G39" s="56">
        <f>IF(ISERROR(ROUND(SUMPRODUCT(($C$456:$C$540=B39)*($H$456:$H$540=$G$6)*($O$456:$O$540))/G91,4)),"-",(ROUND(SUMPRODUCT(($C$456:$C$540=B39)*($H$456:$H$540=$G$6)*($O$456:$O$540))/G91,4)))</f>
        <v>0.0168</v>
      </c>
      <c r="H39" s="86" t="str">
        <f>IF(ISERROR(ROUND(SUMPRODUCT(($C$456:$C$540=B39)*($H$456:$H$540=$H$6)*($O$456:$O$540))/H91,4)),"-",(ROUND(SUMPRODUCT(($C$456:$C$540=B39)*($H$456:$H$540=$H$6)*($O$456:$O$540))/H91,4)))</f>
        <v>-</v>
      </c>
      <c r="N39" s="54"/>
      <c r="O39" s="55"/>
    </row>
    <row r="40" spans="1:15" s="52" customFormat="1" ht="12" thickBot="1">
      <c r="A40" s="64"/>
      <c r="B40" s="87" t="s">
        <v>124</v>
      </c>
      <c r="C40" s="88"/>
      <c r="D40" s="88">
        <f>IF(ISERROR(ROUND(SUMPRODUCT(D33:D39,D85:D91)/SUM(D85:D91),4)),"-",ROUND(SUMPRODUCT(D33:D39,D85:D91)/SUM(D85:D91),4))</f>
        <v>0.0236</v>
      </c>
      <c r="E40" s="88"/>
      <c r="F40" s="88">
        <f>IF(ISERROR(ROUND(SUMPRODUCT(F33:F39,F85:F91)/SUM(F85:F91),4)),"-",ROUND(SUMPRODUCT(F33:F39,F85:F91)/SUM(F85:F91),4))</f>
        <v>0.0187</v>
      </c>
      <c r="G40" s="88">
        <f>IF(ISERROR(ROUND(SUMPRODUCT(G33:G39,G85:G91)/SUM(G85:G91),4)),"-",ROUND(SUMPRODUCT(G33:G39,G85:G91)/SUM(G85:G91),4))</f>
        <v>0.0168</v>
      </c>
      <c r="H40" s="89"/>
      <c r="N40" s="54"/>
      <c r="O40" s="55"/>
    </row>
    <row r="41" spans="1:15" s="52" customFormat="1" ht="19.5" thickTop="1">
      <c r="A41" s="64"/>
      <c r="B41" s="93" t="s">
        <v>792</v>
      </c>
      <c r="C41" s="94"/>
      <c r="D41" s="94"/>
      <c r="E41" s="94"/>
      <c r="F41" s="94"/>
      <c r="G41" s="94"/>
      <c r="H41" s="95"/>
      <c r="J41" s="66"/>
      <c r="L41" s="68"/>
      <c r="M41" s="68"/>
      <c r="N41" s="54"/>
      <c r="O41" s="55"/>
    </row>
    <row r="42" spans="1:15" s="52" customFormat="1" ht="11.25">
      <c r="A42" s="64"/>
      <c r="B42" s="85" t="s">
        <v>713</v>
      </c>
      <c r="C42" s="69" t="str">
        <f>IF(ISERROR(ROUND(SUMPRODUCT(($C$607:$C$639=B42)*($H$607:$H$639=$C$6)*($O$607:$O$639))/C94,4)),"-",(ROUND(SUMPRODUCT(($C$607:$C$639=B42)*($H$607:$H$639=$C$6)*($O$607:$O$639))/C94,4)))</f>
        <v>-</v>
      </c>
      <c r="D42" s="69" t="str">
        <f>IF(ISERROR(ROUND(SUMPRODUCT(($C$607:$C$639=B42)*($H$607:$H$639=$D$6)*($O$607:$O$639))/D94,4)),"-",(ROUND(SUMPRODUCT(($C$607:$C$639=B42)*($H$607:$H$639=$D$6)*($O$607:$O$639))/D94,4)))</f>
        <v>-</v>
      </c>
      <c r="E42" s="29" t="str">
        <f>IF(ISERROR(ROUND(SUMPRODUCT(($C$607:$C$639=B42)*($H$607:$H$639=$E$6)*($O$607:$O$639))/E94,4)),"-",(ROUND(SUMPRODUCT(($C$607:$C$639=B42)*($H$607:$H$639=$E$6)*($O$607:$O$639))/E94,4)))</f>
        <v>-</v>
      </c>
      <c r="F42" s="56" t="str">
        <f>IF(ISERROR(ROUND(SUMPRODUCT(($C$607:$C$639=B42)*($H$607:$H$639=$F$6)*($O$607:$O$639))/F94,4)),"-",(ROUND(SUMPRODUCT(($C$607:$C$639=B42)*($H$607:$H$639=$F$6)*($O$607:$O$639))/F94,4)))</f>
        <v>-</v>
      </c>
      <c r="G42" s="56" t="str">
        <f>IF(ISERROR(ROUND(SUMPRODUCT(($C$607:$C$639=B42)*($H$607:$H$639=$G$6)*($O$607:$O$639))/G94,4)),"-",(ROUND(SUMPRODUCT(($C$607:$C$639=B42)*($H$607:$H$639=$G$6)*($O$607:$O$639))/G94,4)))</f>
        <v>-</v>
      </c>
      <c r="H42" s="86" t="str">
        <f>IF(ISERROR(ROUND(SUMPRODUCT(($C$607:$C$639=B42)*($H$607:$H$639=$H$6)*($O$607:$O$639))/H94,4)),"-",(ROUND(SUMPRODUCT(($C$607:$C$639=B42)*($H$607:$H$639=$H$6)*($O$607:$O$639))/H94,4)))</f>
        <v>-</v>
      </c>
      <c r="J42" s="66"/>
      <c r="L42" s="68"/>
      <c r="M42" s="68"/>
      <c r="N42" s="54"/>
      <c r="O42" s="55"/>
    </row>
    <row r="43" spans="1:15" s="52" customFormat="1" ht="11.25">
      <c r="A43" s="64"/>
      <c r="B43" s="85" t="s">
        <v>152</v>
      </c>
      <c r="C43" s="69" t="str">
        <f>IF(ISERROR(ROUND(SUMPRODUCT(($C$607:$C$639=B43)*($H$607:$H$639=$C$6)*($O$607:$O$639))/C95,4)),"-",(ROUND(SUMPRODUCT(($C$607:$C$639=B43)*($H$607:$H$639=$C$6)*($O$607:$O$639))/C95,4)))</f>
        <v>-</v>
      </c>
      <c r="D43" s="69">
        <f>IF(ISERROR(ROUND(SUMPRODUCT(($C$607:$C$639=B43)*($H$607:$H$639=$D$6)*($O$607:$O$639))/D95,4)),"-",(ROUND(SUMPRODUCT(($C$607:$C$639=B43)*($H$607:$H$639=$D$6)*($O$607:$O$639))/D95,4)))</f>
        <v>0.0141</v>
      </c>
      <c r="E43" s="29" t="str">
        <f>IF(ISERROR(ROUND(SUMPRODUCT(($C$607:$C$639=B43)*($H$607:$H$639=$E$6)*($O$607:$O$639))/E95,4)),"-",(ROUND(SUMPRODUCT(($C$607:$C$639=B43)*($H$607:$H$639=$E$6)*($O$607:$O$639))/E95,4)))</f>
        <v>-</v>
      </c>
      <c r="F43" s="56" t="str">
        <f>IF(ISERROR(ROUND(SUMPRODUCT(($C$607:$C$639=B43)*($H$607:$H$639=$F$6)*($O$607:$O$639))/F95,4)),"-",(ROUND(SUMPRODUCT(($C$607:$C$639=B43)*($H$607:$H$639=$F$6)*($O$607:$O$639))/F95,4)))</f>
        <v>-</v>
      </c>
      <c r="G43" s="56" t="str">
        <f>IF(ISERROR(ROUND(SUMPRODUCT(($C$607:$C$639=B43)*($H$607:$H$639=$G$6)*($O$607:$O$639))/G95,4)),"-",(ROUND(SUMPRODUCT(($C$607:$C$639=B43)*($H$607:$H$639=$G$6)*($O$607:$O$639))/G95,4)))</f>
        <v>-</v>
      </c>
      <c r="H43" s="86" t="str">
        <f>IF(ISERROR(ROUND(SUMPRODUCT(($C$607:$C$639=B43)*($H$607:$H$639=$H$6)*($O$607:$O$639))/H95,4)),"-",(ROUND(SUMPRODUCT(($C$607:$C$639=B43)*($H$607:$H$639=$H$6)*($O$607:$O$639))/H95,4)))</f>
        <v>-</v>
      </c>
      <c r="J43" s="66"/>
      <c r="L43" s="68"/>
      <c r="M43" s="68"/>
      <c r="N43" s="54"/>
      <c r="O43" s="55"/>
    </row>
    <row r="44" spans="1:15" s="52" customFormat="1" ht="11.25">
      <c r="A44" s="64"/>
      <c r="B44" s="85" t="s">
        <v>1058</v>
      </c>
      <c r="C44" s="69">
        <f>IF(ISERROR(ROUND(SUMPRODUCT(($C$607:$C$639=B44)*($H$607:$H$639=$C$6)*($O$607:$O$639))/C96,4)),"-",(ROUND(SUMPRODUCT(($C$607:$C$639=B44)*($H$607:$H$639=$C$6)*($O$607:$O$639))/C96,4)))</f>
        <v>0.0328</v>
      </c>
      <c r="D44" s="69">
        <f>IF(ISERROR(ROUND(SUMPRODUCT(($C$607:$C$639=B44)*($H$607:$H$639=$D$6)*($O$607:$O$639))/D96,4)),"-",(ROUND(SUMPRODUCT(($C$607:$C$639=B44)*($H$607:$H$639=$D$6)*($O$607:$O$639))/D96,4)))</f>
        <v>0.0206</v>
      </c>
      <c r="E44" s="29" t="str">
        <f>IF(ISERROR(ROUND(SUMPRODUCT(($C$607:$C$639=B44)*($H$607:$H$639=$E$6)*($O$607:$O$639))/E96,4)),"-",(ROUND(SUMPRODUCT(($C$607:$C$639=B44)*($H$607:$H$639=$E$6)*($O$607:$O$639))/E96,4)))</f>
        <v>-</v>
      </c>
      <c r="F44" s="56" t="str">
        <f>IF(ISERROR(ROUND(SUMPRODUCT(($C$607:$C$639=B44)*($H$607:$H$639=$F$6)*($O$607:$O$639))/F96,4)),"-",(ROUND(SUMPRODUCT(($C$607:$C$639=B44)*($H$607:$H$639=$F$6)*($O$607:$O$639))/F96,4)))</f>
        <v>-</v>
      </c>
      <c r="G44" s="56" t="str">
        <f>IF(ISERROR(ROUND(SUMPRODUCT(($C$607:$C$639=B44)*($H$607:$H$639=$G$6)*($O$607:$O$639))/G96,4)),"-",(ROUND(SUMPRODUCT(($C$607:$C$639=B44)*($H$607:$H$639=$G$6)*($O$607:$O$639))/G96,4)))</f>
        <v>-</v>
      </c>
      <c r="H44" s="86" t="str">
        <f>IF(ISERROR(ROUND(SUMPRODUCT(($C$607:$C$639=B44)*($H$607:$H$639=$H$6)*($O$607:$O$639))/H96,4)),"-",(ROUND(SUMPRODUCT(($C$607:$C$639=B44)*($H$607:$H$639=$H$6)*($O$607:$O$639))/H96,4)))</f>
        <v>-</v>
      </c>
      <c r="J44" s="66"/>
      <c r="L44" s="68"/>
      <c r="M44" s="68"/>
      <c r="N44" s="54"/>
      <c r="O44" s="55"/>
    </row>
    <row r="45" spans="1:15" s="52" customFormat="1" ht="11.25">
      <c r="A45" s="64"/>
      <c r="B45" s="85" t="s">
        <v>341</v>
      </c>
      <c r="C45" s="69" t="str">
        <f>IF(ISERROR(ROUND(SUMPRODUCT(($C$607:$C$639=B45)*($H$607:$H$639=$C$6)*($O$607:$O$639))/C97,4)),"-",(ROUND(SUMPRODUCT(($C$607:$C$639=B45)*($H$607:$H$639=$C$6)*($O$607:$O$639))/C97,4)))</f>
        <v>-</v>
      </c>
      <c r="D45" s="69" t="str">
        <f>IF(ISERROR(ROUND(SUMPRODUCT(($C$607:$C$639=B45)*($H$607:$H$639=$D$6)*($O$607:$O$639))/D97,4)),"-",(ROUND(SUMPRODUCT(($C$607:$C$639=B45)*($H$607:$H$639=$D$6)*($O$607:$O$639))/D97,4)))</f>
        <v>-</v>
      </c>
      <c r="E45" s="29" t="str">
        <f>IF(ISERROR(ROUND(SUMPRODUCT(($C$607:$C$639=B45)*($H$607:$H$639=$E$6)*($O$607:$O$639))/E97,4)),"-",(ROUND(SUMPRODUCT(($C$607:$C$639=B45)*($H$607:$H$639=$E$6)*($O$607:$O$639))/E97,4)))</f>
        <v>-</v>
      </c>
      <c r="F45" s="56" t="str">
        <f>IF(ISERROR(ROUND(SUMPRODUCT(($C$607:$C$639=B45)*($H$607:$H$639=$F$6)*($O$607:$O$639))/F97,4)),"-",(ROUND(SUMPRODUCT(($C$607:$C$639=B45)*($H$607:$H$639=$F$6)*($O$607:$O$639))/F97,4)))</f>
        <v>-</v>
      </c>
      <c r="G45" s="56">
        <f>IF(ISERROR(ROUND(SUMPRODUCT(($C$607:$C$639=B45)*($H$607:$H$639=$G$6)*($O$607:$O$639))/G97,4)),"-",(ROUND(SUMPRODUCT(($C$607:$C$639=B45)*($H$607:$H$639=$G$6)*($O$607:$O$639))/G97,4)))</f>
        <v>0.0067</v>
      </c>
      <c r="H45" s="86" t="str">
        <f>IF(ISERROR(ROUND(SUMPRODUCT(($C$607:$C$639=B45)*($H$607:$H$639=$H$6)*($O$607:$O$639))/H97,4)),"-",(ROUND(SUMPRODUCT(($C$607:$C$639=B45)*($H$607:$H$639=$H$6)*($O$607:$O$639))/H97,4)))</f>
        <v>-</v>
      </c>
      <c r="J45" s="66"/>
      <c r="L45" s="68"/>
      <c r="M45" s="68"/>
      <c r="N45" s="54"/>
      <c r="O45" s="55"/>
    </row>
    <row r="46" spans="1:15" s="52" customFormat="1" ht="12" thickBot="1">
      <c r="A46" s="64"/>
      <c r="B46" s="87" t="s">
        <v>128</v>
      </c>
      <c r="C46" s="88">
        <f>IF(ISERROR(ROUND(SUMPRODUCT(C42:C45,C94:C97)/SUM(C94:C97),4)),"-",ROUND(SUMPRODUCT(C42:C45,C94:C97)/SUM(C94:C97),4))</f>
        <v>0.0328</v>
      </c>
      <c r="D46" s="88">
        <f>IF(ISERROR(ROUND(SUMPRODUCT(D42:D45,D94:D97)/SUM(D94:D97),4)),"-",ROUND(SUMPRODUCT(D42:D45,D94:D97)/SUM(D94:D97),4))</f>
        <v>0.0159</v>
      </c>
      <c r="E46" s="88"/>
      <c r="F46" s="88"/>
      <c r="G46" s="88">
        <f>IF(ISERROR(ROUND(SUMPRODUCT(G42:G45,G94:G97)/SUM(G94:G97),4)),"-",ROUND(SUMPRODUCT(G42:G45,G94:G97)/SUM(G94:G97),4))</f>
        <v>0.0067</v>
      </c>
      <c r="H46" s="89"/>
      <c r="J46" s="66"/>
      <c r="L46" s="68"/>
      <c r="M46" s="68"/>
      <c r="N46" s="54"/>
      <c r="O46" s="55"/>
    </row>
    <row r="47" spans="1:15" s="52" customFormat="1" ht="19.5" thickTop="1">
      <c r="A47" s="64"/>
      <c r="B47" s="93" t="s">
        <v>305</v>
      </c>
      <c r="C47" s="94"/>
      <c r="D47" s="94"/>
      <c r="E47" s="94"/>
      <c r="F47" s="94"/>
      <c r="G47" s="94"/>
      <c r="H47" s="95"/>
      <c r="J47" s="66"/>
      <c r="L47" s="68"/>
      <c r="M47" s="68"/>
      <c r="N47" s="54"/>
      <c r="O47" s="55"/>
    </row>
    <row r="48" spans="1:15" s="52" customFormat="1" ht="11.25">
      <c r="A48" s="64"/>
      <c r="B48" s="85" t="s">
        <v>1038</v>
      </c>
      <c r="C48" s="69" t="str">
        <f>IF(ISERROR(ROUND(SUMPRODUCT(($C$668:$C$699=B48)*($H$668:$H$699=$C$6)*($O$668:$O$699))/C100,4)),"-",(ROUND(SUMPRODUCT(($C$668:$C$699=B48)*($H$668:$H$699=$C$6)*($O$668:$O$699))/C100,4)))</f>
        <v>-</v>
      </c>
      <c r="D48" s="69" t="str">
        <f>IF(ISERROR(ROUND(SUMPRODUCT(($C$668:$C$699=B48)*($H$668:$H$699=$D$6)*($O$668:$O$699))/D100,4)),"-",(ROUND(SUMPRODUCT(($C$668:$C$699=B48)*($H$668:$H$699=$D$6)*($O$668:$O$699))/D100,4)))</f>
        <v>-</v>
      </c>
      <c r="E48" s="29">
        <f>IF(ISERROR(ROUND(SUMPRODUCT(($C$668:$C$699=B48)*($H$668:$H$699=$E$6)*($O$668:$O$699))/E100,4)),"-",(ROUND(SUMPRODUCT(($C$668:$C$699=B48)*($H$668:$H$699=$E$6)*($O$668:$O$699))/E100,4)))</f>
        <v>0.0258</v>
      </c>
      <c r="F48" s="56">
        <f>IF(ISERROR(ROUND(SUMPRODUCT(($C$668:$C$699=B48)*($H$668:$H$699=$F$6)*($O$668:$O$699))/F100,4)),"-",(ROUND(SUMPRODUCT(($C$668:$C$699=B48)*($H$668:$H$699=$F$6)*($O$668:$O$699))/F100,4)))</f>
        <v>0.0083</v>
      </c>
      <c r="G48" s="56" t="str">
        <f>IF(ISERROR(ROUND(SUMPRODUCT(($C$668:$C$699=B48)*($H$668:$H$699=$G$6)*($O$668:$O$699))/G100,4)),"-",(ROUND(SUMPRODUCT(($C$668:$C$699=B48)*($H$668:$H$699=$G$6)*($O$668:$O$699))/G100,4)))</f>
        <v>-</v>
      </c>
      <c r="H48" s="86" t="str">
        <f>IF(ISERROR(ROUND(SUMPRODUCT(($C$668:$C$699=B48)*($H$668:$H$699=$H$6)*($O$668:$O$699))/H100,4)),"-",(ROUND(SUMPRODUCT(($C$668:$C$699=B48)*($H$668:$H$699=$H$6)*($O$668:$O$699))/H100,4)))</f>
        <v>-</v>
      </c>
      <c r="J48" s="66"/>
      <c r="L48" s="68"/>
      <c r="M48" s="68"/>
      <c r="N48" s="54"/>
      <c r="O48" s="55"/>
    </row>
    <row r="49" spans="1:15" s="52" customFormat="1" ht="11.25">
      <c r="A49" s="64"/>
      <c r="B49" s="85" t="s">
        <v>733</v>
      </c>
      <c r="C49" s="69">
        <f>IF(ISERROR(ROUND(SUMPRODUCT(($C$668:$C$699=B49)*($H$668:$H$699=$C$6)*($O$668:$O$699))/C101,4)),"-",(ROUND(SUMPRODUCT(($C$668:$C$699=B49)*($H$668:$H$699=$C$6)*($O$668:$O$699))/C101,4)))</f>
        <v>0.0136</v>
      </c>
      <c r="D49" s="69" t="str">
        <f>IF(ISERROR(ROUND(SUMPRODUCT(($C$668:$C$699=B49)*($H$668:$H$699=$D$6)*($O$668:$O$699))/D101,4)),"-",(ROUND(SUMPRODUCT(($C$668:$C$699=B49)*($H$668:$H$699=$D$6)*($O$668:$O$699))/D101,4)))</f>
        <v>-</v>
      </c>
      <c r="E49" s="29" t="str">
        <f>IF(ISERROR(ROUND(SUMPRODUCT(($C$668:$C$699=B49)*($H$668:$H$699=$E$6)*($O$668:$O$699))/E101,4)),"-",(ROUND(SUMPRODUCT(($C$668:$C$699=B49)*($H$668:$H$699=$E$6)*($O$668:$O$699))/E101,4)))</f>
        <v>-</v>
      </c>
      <c r="F49" s="56" t="str">
        <f>IF(ISERROR(ROUND(SUMPRODUCT(($C$668:$C$699=B49)*($H$668:$H$699=$F$6)*($O$668:$O$699))/F101,4)),"-",(ROUND(SUMPRODUCT(($C$668:$C$699=B49)*($H$668:$H$699=$F$6)*($O$668:$O$699))/F101,4)))</f>
        <v>-</v>
      </c>
      <c r="G49" s="56" t="str">
        <f>IF(ISERROR(ROUND(SUMPRODUCT(($C$668:$C$699=B49)*($H$668:$H$699=$G$6)*($O$668:$O$699))/G101,4)),"-",(ROUND(SUMPRODUCT(($C$668:$C$699=B49)*($H$668:$H$699=$G$6)*($O$668:$O$699))/G101,4)))</f>
        <v>-</v>
      </c>
      <c r="H49" s="86" t="str">
        <f>IF(ISERROR(ROUND(SUMPRODUCT(($C$668:$C$699=B49)*($H$668:$H$699=$H$6)*($O$668:$O$699))/H101,4)),"-",(ROUND(SUMPRODUCT(($C$668:$C$699=B49)*($H$668:$H$699=$H$6)*($O$668:$O$699))/H101,4)))</f>
        <v>-</v>
      </c>
      <c r="J49" s="66"/>
      <c r="L49" s="68"/>
      <c r="M49" s="68"/>
      <c r="N49" s="54"/>
      <c r="O49" s="55"/>
    </row>
    <row r="50" spans="1:15" s="52" customFormat="1" ht="11.25">
      <c r="A50" s="64"/>
      <c r="B50" s="85" t="s">
        <v>664</v>
      </c>
      <c r="C50" s="69">
        <f>IF(ISERROR(ROUND(SUMPRODUCT(($C$668:$C$699=B50)*($H$668:$H$699=$C$6)*($O$668:$O$699))/C102,4)),"-",(ROUND(SUMPRODUCT(($C$668:$C$699=B50)*($H$668:$H$699=$C$6)*($O$668:$O$699))/C102,4)))</f>
        <v>0.0512</v>
      </c>
      <c r="D50" s="69" t="str">
        <f>IF(ISERROR(ROUND(SUMPRODUCT(($C$668:$C$699=B50)*($H$668:$H$699=$D$6)*($O$668:$O$699))/D102,4)),"-",(ROUND(SUMPRODUCT(($C$668:$C$699=B50)*($H$668:$H$699=$D$6)*($O$668:$O$699))/D102,4)))</f>
        <v>-</v>
      </c>
      <c r="E50" s="29" t="str">
        <f>IF(ISERROR(ROUND(SUMPRODUCT(($C$668:$C$699=B50)*($H$668:$H$699=$E$6)*($O$668:$O$699))/E102,4)),"-",(ROUND(SUMPRODUCT(($C$668:$C$699=B50)*($H$668:$H$699=$E$6)*($O$668:$O$699))/E102,4)))</f>
        <v>-</v>
      </c>
      <c r="F50" s="56" t="str">
        <f>IF(ISERROR(ROUND(SUMPRODUCT(($C$668:$C$699=B50)*($H$668:$H$699=$F$6)*($O$668:$O$699))/F102,4)),"-",(ROUND(SUMPRODUCT(($C$668:$C$699=B50)*($H$668:$H$699=$F$6)*($O$668:$O$699))/F102,4)))</f>
        <v>-</v>
      </c>
      <c r="G50" s="56" t="str">
        <f>IF(ISERROR(ROUND(SUMPRODUCT(($C$668:$C$699=B50)*($H$668:$H$699=$G$6)*($O$668:$O$699))/G102,4)),"-",(ROUND(SUMPRODUCT(($C$668:$C$699=B50)*($H$668:$H$699=$G$6)*($O$668:$O$699))/G102,4)))</f>
        <v>-</v>
      </c>
      <c r="H50" s="86" t="str">
        <f>IF(ISERROR(ROUND(SUMPRODUCT(($C$668:$C$699=B50)*($H$668:$H$699=$H$6)*($O$668:$O$699))/H102,4)),"-",(ROUND(SUMPRODUCT(($C$668:$C$699=B50)*($H$668:$H$699=$H$6)*($O$668:$O$699))/H102,4)))</f>
        <v>-</v>
      </c>
      <c r="J50" s="66"/>
      <c r="L50" s="68"/>
      <c r="M50" s="68"/>
      <c r="N50" s="54"/>
      <c r="O50" s="55"/>
    </row>
    <row r="51" spans="1:15" s="52" customFormat="1" ht="11.25">
      <c r="A51" s="64"/>
      <c r="B51" s="85" t="s">
        <v>217</v>
      </c>
      <c r="C51" s="69" t="str">
        <f>IF(ISERROR(ROUND(SUMPRODUCT(($C$668:$C$699=B51)*($H$668:$H$699=$C$6)*($O$668:$O$699))/C103,4)),"-",(ROUND(SUMPRODUCT(($C$668:$C$699=B51)*($H$668:$H$699=$C$6)*($O$668:$O$699))/C103,4)))</f>
        <v>-</v>
      </c>
      <c r="D51" s="69">
        <f>IF(ISERROR(ROUND(SUMPRODUCT(($C$668:$C$699=B51)*($H$668:$H$699=$D$6)*($O$668:$O$699))/D103,4)),"-",(ROUND(SUMPRODUCT(($C$668:$C$699=B51)*($H$668:$H$699=$D$6)*($O$668:$O$699))/D103,4)))</f>
        <v>0.0297</v>
      </c>
      <c r="E51" s="29" t="str">
        <f>IF(ISERROR(ROUND(SUMPRODUCT(($C$668:$C$699=B51)*($H$668:$H$699=$E$6)*($O$668:$O$699))/E103,4)),"-",(ROUND(SUMPRODUCT(($C$668:$C$699=B51)*($H$668:$H$699=$E$6)*($O$668:$O$699))/E103,4)))</f>
        <v>-</v>
      </c>
      <c r="F51" s="56" t="str">
        <f>IF(ISERROR(ROUND(SUMPRODUCT(($C$668:$C$699=B51)*($H$668:$H$699=$F$6)*($O$668:$O$699))/F103,4)),"-",(ROUND(SUMPRODUCT(($C$668:$C$699=B51)*($H$668:$H$699=$F$6)*($O$668:$O$699))/F103,4)))</f>
        <v>-</v>
      </c>
      <c r="G51" s="56" t="str">
        <f>IF(ISERROR(ROUND(SUMPRODUCT(($C$668:$C$699=B51)*($H$668:$H$699=$G$6)*($O$668:$O$699))/G103,4)),"-",(ROUND(SUMPRODUCT(($C$668:$C$699=B51)*($H$668:$H$699=$G$6)*($O$668:$O$699))/G103,4)))</f>
        <v>-</v>
      </c>
      <c r="H51" s="86" t="str">
        <f>IF(ISERROR(ROUND(SUMPRODUCT(($C$668:$C$699=B51)*($H$668:$H$699=$H$6)*($O$668:$O$699))/H103,4)),"-",(ROUND(SUMPRODUCT(($C$668:$C$699=B51)*($H$668:$H$699=$H$6)*($O$668:$O$699))/H103,4)))</f>
        <v>-</v>
      </c>
      <c r="J51" s="66"/>
      <c r="L51" s="68"/>
      <c r="M51" s="68"/>
      <c r="N51" s="54"/>
      <c r="O51" s="55"/>
    </row>
    <row r="52" spans="1:15" s="52" customFormat="1" ht="11.25">
      <c r="A52" s="64"/>
      <c r="B52" s="85" t="s">
        <v>174</v>
      </c>
      <c r="C52" s="69">
        <f>IF(ISERROR(ROUND(SUMPRODUCT(($C$668:$C$699=B52)*($H$668:$H$699=$C$6)*($O$668:$O$699))/C104,4)),"-",(ROUND(SUMPRODUCT(($C$668:$C$699=B52)*($H$668:$H$699=$C$6)*($O$668:$O$699))/C104,4)))</f>
        <v>0.0408</v>
      </c>
      <c r="D52" s="69">
        <f>IF(ISERROR(ROUND(SUMPRODUCT(($C$668:$C$699=B52)*($H$668:$H$699=$D$6)*($O$668:$O$699))/D104,4)),"-",(ROUND(SUMPRODUCT(($C$668:$C$699=B52)*($H$668:$H$699=$D$6)*($O$668:$O$699))/D104,4)))</f>
        <v>0.0265</v>
      </c>
      <c r="E52" s="29" t="str">
        <f>IF(ISERROR(ROUND(SUMPRODUCT(($C$668:$C$699=B52)*($H$668:$H$699=$E$6)*($O$668:$O$699))/E104,4)),"-",(ROUND(SUMPRODUCT(($C$668:$C$699=B52)*($H$668:$H$699=$E$6)*($O$668:$O$699))/E104,4)))</f>
        <v>-</v>
      </c>
      <c r="F52" s="56" t="str">
        <f>IF(ISERROR(ROUND(SUMPRODUCT(($C$668:$C$699=B52)*($H$668:$H$699=$F$6)*($O$668:$O$699))/F104,4)),"-",(ROUND(SUMPRODUCT(($C$668:$C$699=B52)*($H$668:$H$699=$F$6)*($O$668:$O$699))/F104,4)))</f>
        <v>-</v>
      </c>
      <c r="G52" s="56" t="str">
        <f>IF(ISERROR(ROUND(SUMPRODUCT(($C$668:$C$699=B52)*($H$668:$H$699=$G$6)*($O$668:$O$699))/G104,4)),"-",(ROUND(SUMPRODUCT(($C$668:$C$699=B52)*($H$668:$H$699=$G$6)*($O$668:$O$699))/G104,4)))</f>
        <v>-</v>
      </c>
      <c r="H52" s="86" t="str">
        <f>IF(ISERROR(ROUND(SUMPRODUCT(($C$668:$C$699=B52)*($H$668:$H$699=$H$6)*($O$668:$O$699))/H104,4)),"-",(ROUND(SUMPRODUCT(($C$668:$C$699=B52)*($H$668:$H$699=$H$6)*($O$668:$O$699))/H104,4)))</f>
        <v>-</v>
      </c>
      <c r="J52" s="66"/>
      <c r="L52" s="68"/>
      <c r="M52" s="68"/>
      <c r="N52" s="54"/>
      <c r="O52" s="55"/>
    </row>
    <row r="53" spans="1:15" s="52" customFormat="1" ht="12" thickBot="1">
      <c r="A53" s="64"/>
      <c r="B53" s="87" t="s">
        <v>131</v>
      </c>
      <c r="C53" s="88">
        <f>IF(ISERROR(ROUND(SUMPRODUCT(C48:C52,C100:C104)/SUM(C100:C104),4)),"-",ROUND(SUMPRODUCT(C48:C52,C100:C104)/SUM(C100:C104),4))</f>
        <v>0.0352</v>
      </c>
      <c r="D53" s="88">
        <f>IF(ISERROR(ROUND(SUMPRODUCT(D48:D52,D100:D104)/SUM(D100:D104),4)),"-",ROUND(SUMPRODUCT(D48:D52,D100:D104)/SUM(D100:D104),4))</f>
        <v>0.0284</v>
      </c>
      <c r="E53" s="88">
        <f>IF(ISERROR(ROUND(SUMPRODUCT(E48:E52,E100:E104)/SUM(E100:E104),4)),"-",ROUND(SUMPRODUCT(E48:E52,E100:E104)/SUM(E100:E104),4))</f>
        <v>0.0258</v>
      </c>
      <c r="F53" s="88">
        <f>IF(ISERROR(ROUND(SUMPRODUCT(F48:F52,F100:F104)/SUM(F100:F104),4)),"-",ROUND(SUMPRODUCT(F48:F52,F100:F104)/SUM(F100:F104),4))</f>
        <v>0.0083</v>
      </c>
      <c r="G53" s="88"/>
      <c r="H53" s="89"/>
      <c r="J53" s="66"/>
      <c r="L53" s="68"/>
      <c r="M53" s="68"/>
      <c r="N53" s="54"/>
      <c r="O53" s="55"/>
    </row>
    <row r="54" spans="1:15" s="52" customFormat="1" ht="12" thickTop="1">
      <c r="A54" s="64"/>
      <c r="B54" s="65"/>
      <c r="C54" s="65"/>
      <c r="D54" s="65"/>
      <c r="E54" s="55"/>
      <c r="F54" s="66"/>
      <c r="G54" s="67"/>
      <c r="H54" s="66"/>
      <c r="J54" s="66"/>
      <c r="L54" s="68"/>
      <c r="M54" s="68"/>
      <c r="N54" s="54"/>
      <c r="O54" s="55"/>
    </row>
    <row r="55" spans="1:15" s="52" customFormat="1" ht="11.25">
      <c r="A55" s="64"/>
      <c r="B55" s="65"/>
      <c r="C55" s="65"/>
      <c r="D55" s="65"/>
      <c r="E55" s="55"/>
      <c r="F55" s="66"/>
      <c r="G55" s="67"/>
      <c r="H55" s="66"/>
      <c r="J55" s="66"/>
      <c r="L55" s="68"/>
      <c r="M55" s="68"/>
      <c r="N55" s="54"/>
      <c r="O55" s="55"/>
    </row>
    <row r="56" spans="1:15" s="52" customFormat="1" ht="16.5" thickBot="1">
      <c r="A56" s="64"/>
      <c r="B56" s="106" t="s">
        <v>134</v>
      </c>
      <c r="C56" s="65"/>
      <c r="D56" s="65"/>
      <c r="E56" s="55"/>
      <c r="F56" s="66"/>
      <c r="G56" s="67"/>
      <c r="H56" s="66"/>
      <c r="J56" s="66"/>
      <c r="L56" s="68"/>
      <c r="M56" s="68"/>
      <c r="N56" s="54"/>
      <c r="O56" s="55"/>
    </row>
    <row r="57" spans="1:15" s="52" customFormat="1" ht="12" thickTop="1">
      <c r="A57" s="64"/>
      <c r="B57" s="79" t="s">
        <v>119</v>
      </c>
      <c r="C57" s="80" t="s">
        <v>118</v>
      </c>
      <c r="D57" s="81"/>
      <c r="E57" s="81"/>
      <c r="F57" s="81"/>
      <c r="G57" s="81"/>
      <c r="H57" s="81"/>
      <c r="I57" s="128" t="s">
        <v>117</v>
      </c>
      <c r="J57" s="66"/>
      <c r="L57" s="68"/>
      <c r="M57" s="68"/>
      <c r="N57" s="54"/>
      <c r="O57" s="55"/>
    </row>
    <row r="58" spans="1:15" s="52" customFormat="1" ht="11.25">
      <c r="A58" s="64"/>
      <c r="B58" s="83"/>
      <c r="C58" s="14">
        <v>3</v>
      </c>
      <c r="D58" s="14">
        <v>5</v>
      </c>
      <c r="E58" s="14">
        <v>7</v>
      </c>
      <c r="F58" s="14">
        <v>10</v>
      </c>
      <c r="G58" s="14">
        <v>15</v>
      </c>
      <c r="H58" s="120">
        <v>49</v>
      </c>
      <c r="I58" s="129"/>
      <c r="J58" s="66"/>
      <c r="L58" s="68"/>
      <c r="M58" s="68"/>
      <c r="N58" s="54"/>
      <c r="O58" s="55"/>
    </row>
    <row r="59" spans="1:15" s="52" customFormat="1" ht="18.75">
      <c r="A59" s="64"/>
      <c r="B59" s="96" t="s">
        <v>790</v>
      </c>
      <c r="C59" s="97"/>
      <c r="D59" s="97"/>
      <c r="E59" s="97"/>
      <c r="F59" s="97"/>
      <c r="G59" s="97"/>
      <c r="H59" s="97"/>
      <c r="I59" s="98"/>
      <c r="J59" s="66"/>
      <c r="L59" s="68"/>
      <c r="M59" s="68"/>
      <c r="N59" s="54"/>
      <c r="O59" s="55"/>
    </row>
    <row r="60" spans="1:15" s="52" customFormat="1" ht="11.25">
      <c r="A60" s="64"/>
      <c r="B60" s="85" t="s">
        <v>1168</v>
      </c>
      <c r="C60" s="61">
        <f>SUMPRODUCT(($C$162:$C$243=B60)*($H$162:$H$243=$C$58))</f>
        <v>0</v>
      </c>
      <c r="D60" s="61">
        <f>SUMPRODUCT(($C$162:$C$243=B60)*($H$162:$H$243=$D$58))</f>
        <v>0</v>
      </c>
      <c r="E60" s="61">
        <f>SUMPRODUCT(($C$162:$C$243=B60)*($H$162:$H$243=$E$58))</f>
        <v>0</v>
      </c>
      <c r="F60" s="61">
        <f>SUMPRODUCT(($C$162:$C$243=B60)*($H$162:$H$243=$F$58))</f>
        <v>0</v>
      </c>
      <c r="G60" s="61">
        <f>SUMPRODUCT(($C$162:$C$243=B60)*($H$162:$H$243=$G$58))</f>
        <v>1</v>
      </c>
      <c r="H60" s="121">
        <f>SUMPRODUCT(($C$162:$C$243=B60)*($H$162:$H$243=$H$58))</f>
        <v>0</v>
      </c>
      <c r="I60" s="130">
        <f aca="true" t="shared" si="0" ref="I60:I71">SUM(C60:H60)</f>
        <v>1</v>
      </c>
      <c r="J60" s="66"/>
      <c r="L60" s="68"/>
      <c r="M60" s="68"/>
      <c r="N60" s="54"/>
      <c r="O60" s="55"/>
    </row>
    <row r="61" spans="1:15" s="52" customFormat="1" ht="11.25">
      <c r="A61" s="64"/>
      <c r="B61" s="85" t="s">
        <v>1140</v>
      </c>
      <c r="C61" s="61">
        <f>SUMPRODUCT(($C$162:$C$243=B61)*($H$162:$H$243=$C$58))</f>
        <v>1</v>
      </c>
      <c r="D61" s="61">
        <f>SUMPRODUCT(($C$162:$C$243=B61)*($H$162:$H$243=$D$58))</f>
        <v>0</v>
      </c>
      <c r="E61" s="61">
        <f>SUMPRODUCT(($C$162:$C$243=B61)*($H$162:$H$243=$E$58))</f>
        <v>0</v>
      </c>
      <c r="F61" s="61">
        <f>SUMPRODUCT(($C$162:$C$243=B61)*($H$162:$H$243=$F$58))</f>
        <v>0</v>
      </c>
      <c r="G61" s="61">
        <f>SUMPRODUCT(($C$162:$C$243=B61)*($H$162:$H$243=$G$58))</f>
        <v>0</v>
      </c>
      <c r="H61" s="121">
        <f>SUMPRODUCT(($C$162:$C$243=B61)*($H$162:$H$243=$H$58))</f>
        <v>0</v>
      </c>
      <c r="I61" s="130">
        <f t="shared" si="0"/>
        <v>1</v>
      </c>
      <c r="J61" s="66"/>
      <c r="L61" s="68"/>
      <c r="M61" s="68"/>
      <c r="N61" s="54"/>
      <c r="O61" s="55"/>
    </row>
    <row r="62" spans="1:15" s="52" customFormat="1" ht="11.25">
      <c r="A62" s="64"/>
      <c r="B62" s="85" t="s">
        <v>168</v>
      </c>
      <c r="C62" s="61">
        <f>SUMPRODUCT(($C$162:$C$243=B62)*($H$162:$H$243=$C$58))</f>
        <v>0</v>
      </c>
      <c r="D62" s="61">
        <f>SUMPRODUCT(($C$162:$C$243=B62)*($H$162:$H$243=$D$58))</f>
        <v>5</v>
      </c>
      <c r="E62" s="61">
        <f>SUMPRODUCT(($C$162:$C$243=B62)*($H$162:$H$243=$E$58))</f>
        <v>0</v>
      </c>
      <c r="F62" s="61">
        <f>SUMPRODUCT(($C$162:$C$243=B62)*($H$162:$H$243=$F$58))</f>
        <v>6</v>
      </c>
      <c r="G62" s="61">
        <f>SUMPRODUCT(($C$162:$C$243=B62)*($H$162:$H$243=$G$58))</f>
        <v>0</v>
      </c>
      <c r="H62" s="121">
        <f>SUMPRODUCT(($C$162:$C$243=B62)*($H$162:$H$243=$H$58))</f>
        <v>0</v>
      </c>
      <c r="I62" s="130">
        <f t="shared" si="0"/>
        <v>11</v>
      </c>
      <c r="J62" s="66"/>
      <c r="L62" s="68"/>
      <c r="M62" s="68"/>
      <c r="N62" s="54"/>
      <c r="O62" s="55"/>
    </row>
    <row r="63" spans="1:15" s="52" customFormat="1" ht="11.25">
      <c r="A63" s="64"/>
      <c r="B63" s="85" t="s">
        <v>624</v>
      </c>
      <c r="C63" s="61">
        <f>SUMPRODUCT(($C$162:$C$243=B63)*($H$162:$H$243=$C$58))</f>
        <v>0</v>
      </c>
      <c r="D63" s="61">
        <f>SUMPRODUCT(($C$162:$C$243=B63)*($H$162:$H$243=$D$58))</f>
        <v>0</v>
      </c>
      <c r="E63" s="61">
        <f>SUMPRODUCT(($C$162:$C$243=B63)*($H$162:$H$243=$E$58))</f>
        <v>0</v>
      </c>
      <c r="F63" s="61">
        <f>SUMPRODUCT(($C$162:$C$243=B63)*($H$162:$H$243=$F$58))</f>
        <v>0</v>
      </c>
      <c r="G63" s="61">
        <f>SUMPRODUCT(($C$162:$C$243=B63)*($H$162:$H$243=$G$58))</f>
        <v>0</v>
      </c>
      <c r="H63" s="121">
        <f>SUMPRODUCT(($C$162:$C$243=B63)*($H$162:$H$243=$H$58))</f>
        <v>0</v>
      </c>
      <c r="I63" s="130">
        <f t="shared" si="0"/>
        <v>0</v>
      </c>
      <c r="J63" s="66"/>
      <c r="L63" s="68"/>
      <c r="M63" s="68"/>
      <c r="N63" s="54"/>
      <c r="O63" s="55"/>
    </row>
    <row r="64" spans="1:15" s="52" customFormat="1" ht="11.25">
      <c r="A64" s="64"/>
      <c r="B64" s="85" t="s">
        <v>786</v>
      </c>
      <c r="C64" s="61">
        <f>SUMPRODUCT(($C$162:$C$243=B64)*($H$162:$H$243=$C$58))</f>
        <v>0</v>
      </c>
      <c r="D64" s="61">
        <f>SUMPRODUCT(($C$162:$C$243=B64)*($H$162:$H$243=$D$58))</f>
        <v>0</v>
      </c>
      <c r="E64" s="61">
        <f>SUMPRODUCT(($C$162:$C$243=B64)*($H$162:$H$243=$E$58))</f>
        <v>0</v>
      </c>
      <c r="F64" s="61">
        <f>SUMPRODUCT(($C$162:$C$243=B64)*($H$162:$H$243=$F$58))</f>
        <v>0</v>
      </c>
      <c r="G64" s="61">
        <f>SUMPRODUCT(($C$162:$C$243=B64)*($H$162:$H$243=$G$58))</f>
        <v>3</v>
      </c>
      <c r="H64" s="121">
        <f>SUMPRODUCT(($C$162:$C$243=B64)*($H$162:$H$243=$H$58))</f>
        <v>0</v>
      </c>
      <c r="I64" s="130">
        <f t="shared" si="0"/>
        <v>3</v>
      </c>
      <c r="J64" s="66"/>
      <c r="L64" s="68"/>
      <c r="M64" s="68"/>
      <c r="N64" s="54"/>
      <c r="O64" s="55"/>
    </row>
    <row r="65" spans="1:15" s="52" customFormat="1" ht="11.25">
      <c r="A65" s="64"/>
      <c r="B65" s="85" t="s">
        <v>224</v>
      </c>
      <c r="C65" s="61">
        <f>SUMPRODUCT(($C$162:$C$243=B65)*($H$162:$H$243=$C$58))</f>
        <v>1</v>
      </c>
      <c r="D65" s="61">
        <f>SUMPRODUCT(($C$162:$C$243=B65)*($H$162:$H$243=$D$58))</f>
        <v>0</v>
      </c>
      <c r="E65" s="61">
        <f>SUMPRODUCT(($C$162:$C$243=B65)*($H$162:$H$243=$E$58))</f>
        <v>0</v>
      </c>
      <c r="F65" s="61">
        <f>SUMPRODUCT(($C$162:$C$243=B65)*($H$162:$H$243=$F$58))</f>
        <v>0</v>
      </c>
      <c r="G65" s="61">
        <f>SUMPRODUCT(($C$162:$C$243=B65)*($H$162:$H$243=$G$58))</f>
        <v>0</v>
      </c>
      <c r="H65" s="121">
        <f>SUMPRODUCT(($C$162:$C$243=B65)*($H$162:$H$243=$H$58))</f>
        <v>0</v>
      </c>
      <c r="I65" s="130">
        <f t="shared" si="0"/>
        <v>1</v>
      </c>
      <c r="J65" s="66"/>
      <c r="L65" s="68"/>
      <c r="M65" s="68"/>
      <c r="N65" s="54"/>
      <c r="O65" s="55"/>
    </row>
    <row r="66" spans="1:15" s="52" customFormat="1" ht="11.25">
      <c r="A66" s="64"/>
      <c r="B66" s="85" t="s">
        <v>8</v>
      </c>
      <c r="C66" s="61">
        <f>SUMPRODUCT(($C$162:$C$243=B66)*($H$162:$H$243=$C$58))</f>
        <v>1</v>
      </c>
      <c r="D66" s="61">
        <f>SUMPRODUCT(($C$162:$C$243=B66)*($H$162:$H$243=$D$58))</f>
        <v>6</v>
      </c>
      <c r="E66" s="61">
        <f>SUMPRODUCT(($C$162:$C$243=B66)*($H$162:$H$243=$E$58))</f>
        <v>0</v>
      </c>
      <c r="F66" s="61">
        <f>SUMPRODUCT(($C$162:$C$243=B66)*($H$162:$H$243=$F$58))</f>
        <v>0</v>
      </c>
      <c r="G66" s="61">
        <f>SUMPRODUCT(($C$162:$C$243=B66)*($H$162:$H$243=$G$58))</f>
        <v>0</v>
      </c>
      <c r="H66" s="121">
        <f>SUMPRODUCT(($C$162:$C$243=B66)*($H$162:$H$243=$H$58))</f>
        <v>0</v>
      </c>
      <c r="I66" s="130">
        <f t="shared" si="0"/>
        <v>7</v>
      </c>
      <c r="J66" s="66"/>
      <c r="L66" s="68"/>
      <c r="M66" s="68"/>
      <c r="N66" s="54"/>
      <c r="O66" s="55"/>
    </row>
    <row r="67" spans="1:15" s="52" customFormat="1" ht="11.25">
      <c r="A67" s="64"/>
      <c r="B67" s="85" t="s">
        <v>702</v>
      </c>
      <c r="C67" s="61">
        <f>SUMPRODUCT(($C$162:$C$243=B67)*($H$162:$H$243=$C$58))</f>
        <v>0</v>
      </c>
      <c r="D67" s="61">
        <f>SUMPRODUCT(($C$162:$C$243=B67)*($H$162:$H$243=$D$58))</f>
        <v>0</v>
      </c>
      <c r="E67" s="61">
        <f>SUMPRODUCT(($C$162:$C$243=B67)*($H$162:$H$243=$E$58))</f>
        <v>0</v>
      </c>
      <c r="F67" s="61">
        <f>SUMPRODUCT(($C$162:$C$243=B67)*($H$162:$H$243=$F$58))</f>
        <v>0</v>
      </c>
      <c r="G67" s="61">
        <f>SUMPRODUCT(($C$162:$C$243=B67)*($H$162:$H$243=$G$58))</f>
        <v>0</v>
      </c>
      <c r="H67" s="121">
        <f>SUMPRODUCT(($C$162:$C$243=B67)*($H$162:$H$243=$H$58))</f>
        <v>0</v>
      </c>
      <c r="I67" s="130">
        <f t="shared" si="0"/>
        <v>0</v>
      </c>
      <c r="J67" s="66"/>
      <c r="L67" s="68"/>
      <c r="M67" s="68"/>
      <c r="N67" s="54"/>
      <c r="O67" s="55"/>
    </row>
    <row r="68" spans="1:15" s="52" customFormat="1" ht="11.25">
      <c r="A68" s="64"/>
      <c r="B68" s="85" t="s">
        <v>691</v>
      </c>
      <c r="C68" s="61">
        <f>SUMPRODUCT(($C$162:$C$243=B68)*($H$162:$H$243=$C$58))</f>
        <v>0</v>
      </c>
      <c r="D68" s="61">
        <f>SUMPRODUCT(($C$162:$C$243=B68)*($H$162:$H$243=$D$58))</f>
        <v>0</v>
      </c>
      <c r="E68" s="61">
        <f>SUMPRODUCT(($C$162:$C$243=B68)*($H$162:$H$243=$E$58))</f>
        <v>0</v>
      </c>
      <c r="F68" s="61">
        <f>SUMPRODUCT(($C$162:$C$243=B68)*($H$162:$H$243=$F$58))</f>
        <v>0</v>
      </c>
      <c r="G68" s="61">
        <f>SUMPRODUCT(($C$162:$C$243=B68)*($H$162:$H$243=$G$58))</f>
        <v>9</v>
      </c>
      <c r="H68" s="121">
        <f>SUMPRODUCT(($C$162:$C$243=B68)*($H$162:$H$243=$H$58))</f>
        <v>0</v>
      </c>
      <c r="I68" s="130">
        <f t="shared" si="0"/>
        <v>9</v>
      </c>
      <c r="J68" s="66"/>
      <c r="L68" s="68"/>
      <c r="M68" s="68"/>
      <c r="N68" s="54"/>
      <c r="O68" s="55"/>
    </row>
    <row r="69" spans="1:15" s="52" customFormat="1" ht="11.25">
      <c r="A69" s="64"/>
      <c r="B69" s="85" t="s">
        <v>463</v>
      </c>
      <c r="C69" s="61">
        <f>SUMPRODUCT(($C$162:$C$243=B69)*($H$162:$H$243=$C$58))</f>
        <v>0</v>
      </c>
      <c r="D69" s="61">
        <f>SUMPRODUCT(($C$162:$C$243=B69)*($H$162:$H$243=$D$58))</f>
        <v>2</v>
      </c>
      <c r="E69" s="61">
        <f>SUMPRODUCT(($C$162:$C$243=B69)*($H$162:$H$243=$E$58))</f>
        <v>0</v>
      </c>
      <c r="F69" s="61">
        <f>SUMPRODUCT(($C$162:$C$243=B69)*($H$162:$H$243=$F$58))</f>
        <v>0</v>
      </c>
      <c r="G69" s="61">
        <f>SUMPRODUCT(($C$162:$C$243=B69)*($H$162:$H$243=$G$58))</f>
        <v>0</v>
      </c>
      <c r="H69" s="121">
        <f>SUMPRODUCT(($C$162:$C$243=B69)*($H$162:$H$243=$H$58))</f>
        <v>0</v>
      </c>
      <c r="I69" s="130">
        <f t="shared" si="0"/>
        <v>2</v>
      </c>
      <c r="J69" s="66"/>
      <c r="L69" s="68"/>
      <c r="M69" s="68"/>
      <c r="N69" s="54"/>
      <c r="O69" s="55"/>
    </row>
    <row r="70" spans="1:15" s="52" customFormat="1" ht="11.25">
      <c r="A70" s="64"/>
      <c r="B70" s="85" t="s">
        <v>1033</v>
      </c>
      <c r="C70" s="61">
        <f>SUMPRODUCT(($C$162:$C$243=B70)*($H$162:$H$243=$C$58))</f>
        <v>0</v>
      </c>
      <c r="D70" s="61">
        <f>SUMPRODUCT(($C$162:$C$243=B70)*($H$162:$H$243=$D$58))</f>
        <v>0</v>
      </c>
      <c r="E70" s="61">
        <f>SUMPRODUCT(($C$162:$C$243=B70)*($H$162:$H$243=$E$58))</f>
        <v>38</v>
      </c>
      <c r="F70" s="61">
        <f>SUMPRODUCT(($C$162:$C$243=B70)*($H$162:$H$243=$F$58))</f>
        <v>0</v>
      </c>
      <c r="G70" s="61">
        <f>SUMPRODUCT(($C$162:$C$243=B70)*($H$162:$H$243=$G$58))</f>
        <v>0</v>
      </c>
      <c r="H70" s="121">
        <f>SUMPRODUCT(($C$162:$C$243=B70)*($H$162:$H$243=$H$58))</f>
        <v>2</v>
      </c>
      <c r="I70" s="130">
        <f t="shared" si="0"/>
        <v>40</v>
      </c>
      <c r="J70" s="66"/>
      <c r="L70" s="68"/>
      <c r="M70" s="68"/>
      <c r="N70" s="54"/>
      <c r="O70" s="55"/>
    </row>
    <row r="71" spans="1:15" s="52" customFormat="1" ht="11.25">
      <c r="A71" s="64"/>
      <c r="B71" s="91" t="s">
        <v>121</v>
      </c>
      <c r="C71" s="92">
        <f aca="true" t="shared" si="1" ref="C71:H71">SUM(C60:C70)</f>
        <v>3</v>
      </c>
      <c r="D71" s="92">
        <f t="shared" si="1"/>
        <v>13</v>
      </c>
      <c r="E71" s="92">
        <f t="shared" si="1"/>
        <v>38</v>
      </c>
      <c r="F71" s="92">
        <f t="shared" si="1"/>
        <v>6</v>
      </c>
      <c r="G71" s="92">
        <f t="shared" si="1"/>
        <v>13</v>
      </c>
      <c r="H71" s="122">
        <f t="shared" si="1"/>
        <v>2</v>
      </c>
      <c r="I71" s="114">
        <f t="shared" si="0"/>
        <v>75</v>
      </c>
      <c r="J71" s="66"/>
      <c r="L71" s="68"/>
      <c r="M71" s="68"/>
      <c r="N71" s="54"/>
      <c r="O71" s="55"/>
    </row>
    <row r="72" spans="1:15" s="52" customFormat="1" ht="18.75">
      <c r="A72" s="64"/>
      <c r="B72" s="93" t="s">
        <v>789</v>
      </c>
      <c r="C72" s="94"/>
      <c r="D72" s="94"/>
      <c r="E72" s="94"/>
      <c r="F72" s="94"/>
      <c r="G72" s="94"/>
      <c r="H72" s="94"/>
      <c r="I72" s="95"/>
      <c r="J72" s="66"/>
      <c r="L72" s="68"/>
      <c r="M72" s="68"/>
      <c r="N72" s="54"/>
      <c r="O72" s="55"/>
    </row>
    <row r="73" spans="1:15" s="52" customFormat="1" ht="11.25">
      <c r="A73" s="64"/>
      <c r="B73" s="85" t="s">
        <v>379</v>
      </c>
      <c r="C73" s="61">
        <f>SUMPRODUCT(($C$297:$C$386=B73)*($H$297:$H$386=$C$58))</f>
        <v>0</v>
      </c>
      <c r="D73" s="61">
        <f>SUMPRODUCT(($C$297:$C$386=B73)*($H$297:$H$386=$D$58))</f>
        <v>0</v>
      </c>
      <c r="E73" s="61">
        <f>SUMPRODUCT(($C$297:$C$386=B73)*($H$297:$H$386=$E$58))</f>
        <v>0</v>
      </c>
      <c r="F73" s="61">
        <f>SUMPRODUCT(($C$297:$C$386=B73)*($H$297:$H$386=$F$58))</f>
        <v>0</v>
      </c>
      <c r="G73" s="61">
        <f>SUMPRODUCT(($C$297:$C$386=B73)*($H$297:$H$386=$G$58))</f>
        <v>0</v>
      </c>
      <c r="H73" s="121">
        <f>SUMPRODUCT(($C$297:$C$386=B73)*($H$297:$H$386=$H$58))</f>
        <v>20</v>
      </c>
      <c r="I73" s="130">
        <f aca="true" t="shared" si="2" ref="I73:I83">SUM(C73:H73)</f>
        <v>20</v>
      </c>
      <c r="J73" s="66"/>
      <c r="L73" s="68"/>
      <c r="M73" s="68"/>
      <c r="N73" s="54"/>
      <c r="O73" s="55"/>
    </row>
    <row r="74" spans="1:15" s="52" customFormat="1" ht="11.25">
      <c r="A74" s="64"/>
      <c r="B74" s="85" t="s">
        <v>148</v>
      </c>
      <c r="C74" s="61">
        <f>SUMPRODUCT(($C$297:$C$386=B74)*($H$297:$H$386=$C$58))</f>
        <v>0</v>
      </c>
      <c r="D74" s="61">
        <f>SUMPRODUCT(($C$297:$C$386=B74)*($H$297:$H$386=$D$58))</f>
        <v>0</v>
      </c>
      <c r="E74" s="61">
        <f>SUMPRODUCT(($C$297:$C$386=B74)*($H$297:$H$386=$E$58))</f>
        <v>0</v>
      </c>
      <c r="F74" s="61">
        <f>SUMPRODUCT(($C$297:$C$386=B74)*($H$297:$H$386=$F$58))</f>
        <v>0</v>
      </c>
      <c r="G74" s="61">
        <f>SUMPRODUCT(($C$297:$C$386=B74)*($H$297:$H$386=$G$58))</f>
        <v>0</v>
      </c>
      <c r="H74" s="121">
        <f>SUMPRODUCT(($C$297:$C$386=B74)*($H$297:$H$386=$H$58))</f>
        <v>0</v>
      </c>
      <c r="I74" s="130">
        <f t="shared" si="2"/>
        <v>0</v>
      </c>
      <c r="J74" s="66"/>
      <c r="L74" s="68"/>
      <c r="M74" s="68"/>
      <c r="N74" s="54"/>
      <c r="O74" s="55"/>
    </row>
    <row r="75" spans="1:15" s="52" customFormat="1" ht="11.25">
      <c r="A75" s="64"/>
      <c r="B75" s="85" t="s">
        <v>1069</v>
      </c>
      <c r="C75" s="61">
        <f>SUMPRODUCT(($C$297:$C$386=B75)*($H$297:$H$386=$C$58))</f>
        <v>0</v>
      </c>
      <c r="D75" s="61">
        <f>SUMPRODUCT(($C$297:$C$386=B75)*($H$297:$H$386=$D$58))</f>
        <v>32</v>
      </c>
      <c r="E75" s="61">
        <f>SUMPRODUCT(($C$297:$C$386=B75)*($H$297:$H$386=$E$58))</f>
        <v>0</v>
      </c>
      <c r="F75" s="61">
        <f>SUMPRODUCT(($C$297:$C$386=B75)*($H$297:$H$386=$F$58))</f>
        <v>0</v>
      </c>
      <c r="G75" s="61">
        <f>SUMPRODUCT(($C$297:$C$386=B75)*($H$297:$H$386=$G$58))</f>
        <v>0</v>
      </c>
      <c r="H75" s="121">
        <f>SUMPRODUCT(($C$297:$C$386=B75)*($H$297:$H$386=$H$58))</f>
        <v>0</v>
      </c>
      <c r="I75" s="130">
        <f t="shared" si="2"/>
        <v>32</v>
      </c>
      <c r="J75" s="68"/>
      <c r="L75" s="68"/>
      <c r="M75" s="68"/>
      <c r="N75" s="54"/>
      <c r="O75" s="55"/>
    </row>
    <row r="76" spans="1:15" s="52" customFormat="1" ht="11.25">
      <c r="A76" s="64"/>
      <c r="B76" s="85" t="s">
        <v>375</v>
      </c>
      <c r="C76" s="61">
        <f>SUMPRODUCT(($C$297:$C$386=B76)*($H$297:$H$386=$C$58))</f>
        <v>0</v>
      </c>
      <c r="D76" s="61">
        <f>SUMPRODUCT(($C$297:$C$386=B76)*($H$297:$H$386=$D$58))</f>
        <v>0</v>
      </c>
      <c r="E76" s="61">
        <f>SUMPRODUCT(($C$297:$C$386=B76)*($H$297:$H$386=$E$58))</f>
        <v>0</v>
      </c>
      <c r="F76" s="61">
        <f>SUMPRODUCT(($C$297:$C$386=B76)*($H$297:$H$386=$F$58))</f>
        <v>0</v>
      </c>
      <c r="G76" s="61">
        <f>SUMPRODUCT(($C$297:$C$386=B76)*($H$297:$H$386=$G$58))</f>
        <v>0</v>
      </c>
      <c r="H76" s="121">
        <f>SUMPRODUCT(($C$297:$C$386=B76)*($H$297:$H$386=$H$58))</f>
        <v>5</v>
      </c>
      <c r="I76" s="130">
        <f t="shared" si="2"/>
        <v>5</v>
      </c>
      <c r="J76" s="68"/>
      <c r="L76" s="68"/>
      <c r="M76" s="68"/>
      <c r="N76" s="54"/>
      <c r="O76" s="55"/>
    </row>
    <row r="77" spans="1:15" s="52" customFormat="1" ht="11.25">
      <c r="A77" s="64"/>
      <c r="B77" s="85" t="s">
        <v>1132</v>
      </c>
      <c r="C77" s="61">
        <f>SUMPRODUCT(($C$297:$C$386=B77)*($H$297:$H$386=$C$58))</f>
        <v>0</v>
      </c>
      <c r="D77" s="61">
        <f>SUMPRODUCT(($C$297:$C$386=B77)*($H$297:$H$386=$D$58))</f>
        <v>0</v>
      </c>
      <c r="E77" s="61">
        <f>SUMPRODUCT(($C$297:$C$386=B77)*($H$297:$H$386=$E$58))</f>
        <v>0</v>
      </c>
      <c r="F77" s="61">
        <f>SUMPRODUCT(($C$297:$C$386=B77)*($H$297:$H$386=$F$58))</f>
        <v>5</v>
      </c>
      <c r="G77" s="61">
        <f>SUMPRODUCT(($C$297:$C$386=B77)*($H$297:$H$386=$G$58))</f>
        <v>0</v>
      </c>
      <c r="H77" s="121">
        <f>SUMPRODUCT(($C$297:$C$386=B77)*($H$297:$H$386=$H$58))</f>
        <v>0</v>
      </c>
      <c r="I77" s="130">
        <f t="shared" si="2"/>
        <v>5</v>
      </c>
      <c r="J77" s="68"/>
      <c r="L77" s="68"/>
      <c r="M77" s="68"/>
      <c r="N77" s="54"/>
      <c r="O77" s="55"/>
    </row>
    <row r="78" spans="1:15" s="52" customFormat="1" ht="11.25">
      <c r="A78" s="64"/>
      <c r="B78" s="85" t="s">
        <v>804</v>
      </c>
      <c r="C78" s="61">
        <f>SUMPRODUCT(($C$297:$C$386=B78)*($H$297:$H$386=$C$58))</f>
        <v>0</v>
      </c>
      <c r="D78" s="61">
        <f>SUMPRODUCT(($C$297:$C$386=B78)*($H$297:$H$386=$D$58))</f>
        <v>0</v>
      </c>
      <c r="E78" s="61">
        <f>SUMPRODUCT(($C$297:$C$386=B78)*($H$297:$H$386=$E$58))</f>
        <v>0</v>
      </c>
      <c r="F78" s="61">
        <f>SUMPRODUCT(($C$297:$C$386=B78)*($H$297:$H$386=$F$58))</f>
        <v>0</v>
      </c>
      <c r="G78" s="61">
        <f>SUMPRODUCT(($C$297:$C$386=B78)*($H$297:$H$386=$G$58))</f>
        <v>0</v>
      </c>
      <c r="H78" s="121">
        <f>SUMPRODUCT(($C$297:$C$386=B78)*($H$297:$H$386=$H$58))</f>
        <v>0</v>
      </c>
      <c r="I78" s="130">
        <f t="shared" si="2"/>
        <v>0</v>
      </c>
      <c r="J78" s="68"/>
      <c r="L78" s="68"/>
      <c r="M78" s="68"/>
      <c r="N78" s="54"/>
      <c r="O78" s="55"/>
    </row>
    <row r="79" spans="1:15" s="52" customFormat="1" ht="11.25">
      <c r="A79" s="64"/>
      <c r="B79" s="85" t="s">
        <v>810</v>
      </c>
      <c r="C79" s="61">
        <f>SUMPRODUCT(($C$297:$C$386=B79)*($H$297:$H$386=$C$58))</f>
        <v>0</v>
      </c>
      <c r="D79" s="61">
        <f>SUMPRODUCT(($C$297:$C$386=B79)*($H$297:$H$386=$D$58))</f>
        <v>2</v>
      </c>
      <c r="E79" s="61">
        <f>SUMPRODUCT(($C$297:$C$386=B79)*($H$297:$H$386=$E$58))</f>
        <v>0</v>
      </c>
      <c r="F79" s="61">
        <f>SUMPRODUCT(($C$297:$C$386=B79)*($H$297:$H$386=$F$58))</f>
        <v>1</v>
      </c>
      <c r="G79" s="61">
        <f>SUMPRODUCT(($C$297:$C$386=B79)*($H$297:$H$386=$G$58))</f>
        <v>0</v>
      </c>
      <c r="H79" s="121">
        <f>SUMPRODUCT(($C$297:$C$386=B79)*($H$297:$H$386=$H$58))</f>
        <v>0</v>
      </c>
      <c r="I79" s="130">
        <f t="shared" si="2"/>
        <v>3</v>
      </c>
      <c r="J79" s="68"/>
      <c r="L79" s="68"/>
      <c r="M79" s="68"/>
      <c r="N79" s="54"/>
      <c r="O79" s="55"/>
    </row>
    <row r="80" spans="1:15" s="52" customFormat="1" ht="11.25">
      <c r="A80" s="64"/>
      <c r="B80" s="85" t="s">
        <v>1164</v>
      </c>
      <c r="C80" s="61">
        <f>SUMPRODUCT(($C$297:$C$386=B80)*($H$297:$H$386=$C$58))</f>
        <v>0</v>
      </c>
      <c r="D80" s="61">
        <f>SUMPRODUCT(($C$297:$C$386=B80)*($H$297:$H$386=$D$58))</f>
        <v>0</v>
      </c>
      <c r="E80" s="61">
        <f>SUMPRODUCT(($C$297:$C$386=B80)*($H$297:$H$386=$E$58))</f>
        <v>0</v>
      </c>
      <c r="F80" s="61">
        <f>SUMPRODUCT(($C$297:$C$386=B80)*($H$297:$H$386=$F$58))</f>
        <v>0</v>
      </c>
      <c r="G80" s="61">
        <f>SUMPRODUCT(($C$297:$C$386=B80)*($H$297:$H$386=$G$58))</f>
        <v>0</v>
      </c>
      <c r="H80" s="121">
        <f>SUMPRODUCT(($C$297:$C$386=B80)*($H$297:$H$386=$H$58))</f>
        <v>1</v>
      </c>
      <c r="I80" s="130">
        <f t="shared" si="2"/>
        <v>1</v>
      </c>
      <c r="J80" s="68"/>
      <c r="L80" s="68"/>
      <c r="M80" s="68"/>
      <c r="N80" s="54"/>
      <c r="O80" s="55"/>
    </row>
    <row r="81" spans="1:15" s="52" customFormat="1" ht="11.25">
      <c r="A81" s="64"/>
      <c r="B81" s="85" t="s">
        <v>927</v>
      </c>
      <c r="C81" s="61">
        <f>SUMPRODUCT(($C$297:$C$386=B81)*($H$297:$H$386=$C$58))</f>
        <v>0</v>
      </c>
      <c r="D81" s="61">
        <f>SUMPRODUCT(($C$297:$C$386=B81)*($H$297:$H$386=$D$58))</f>
        <v>0</v>
      </c>
      <c r="E81" s="61">
        <f>SUMPRODUCT(($C$297:$C$386=B81)*($H$297:$H$386=$E$58))</f>
        <v>0</v>
      </c>
      <c r="F81" s="61">
        <f>SUMPRODUCT(($C$297:$C$386=B81)*($H$297:$H$386=$F$58))</f>
        <v>0</v>
      </c>
      <c r="G81" s="61">
        <f>SUMPRODUCT(($C$297:$C$386=B81)*($H$297:$H$386=$G$58))</f>
        <v>0</v>
      </c>
      <c r="H81" s="121">
        <f>SUMPRODUCT(($C$297:$C$386=B81)*($H$297:$H$386=$H$58))</f>
        <v>0</v>
      </c>
      <c r="I81" s="130">
        <f t="shared" si="2"/>
        <v>0</v>
      </c>
      <c r="J81" s="68"/>
      <c r="L81" s="68"/>
      <c r="M81" s="68"/>
      <c r="N81" s="54"/>
      <c r="O81" s="55"/>
    </row>
    <row r="82" spans="1:15" s="52" customFormat="1" ht="11.25">
      <c r="A82" s="64"/>
      <c r="B82" s="85" t="s">
        <v>1073</v>
      </c>
      <c r="C82" s="61">
        <f>SUMPRODUCT(($C$297:$C$386=B82)*($H$297:$H$386=$C$58))</f>
        <v>0</v>
      </c>
      <c r="D82" s="61">
        <f>SUMPRODUCT(($C$297:$C$386=B82)*($H$297:$H$386=$D$58))</f>
        <v>0</v>
      </c>
      <c r="E82" s="61">
        <f>SUMPRODUCT(($C$297:$C$386=B82)*($H$297:$H$386=$E$58))</f>
        <v>0</v>
      </c>
      <c r="F82" s="61">
        <f>SUMPRODUCT(($C$297:$C$386=B82)*($H$297:$H$386=$F$58))</f>
        <v>6</v>
      </c>
      <c r="G82" s="61">
        <f>SUMPRODUCT(($C$297:$C$386=B82)*($H$297:$H$386=$G$58))</f>
        <v>0</v>
      </c>
      <c r="H82" s="121">
        <f>SUMPRODUCT(($C$297:$C$386=B82)*($H$297:$H$386=$H$58))</f>
        <v>9</v>
      </c>
      <c r="I82" s="130">
        <f t="shared" si="2"/>
        <v>15</v>
      </c>
      <c r="J82" s="68"/>
      <c r="L82" s="68"/>
      <c r="M82" s="68"/>
      <c r="N82" s="54"/>
      <c r="O82" s="55"/>
    </row>
    <row r="83" spans="1:15" s="52" customFormat="1" ht="11.25">
      <c r="A83" s="64"/>
      <c r="B83" s="126" t="s">
        <v>122</v>
      </c>
      <c r="C83" s="62">
        <f aca="true" t="shared" si="3" ref="C83:H83">SUM(C73:C82)</f>
        <v>0</v>
      </c>
      <c r="D83" s="62">
        <f t="shared" si="3"/>
        <v>34</v>
      </c>
      <c r="E83" s="62">
        <f t="shared" si="3"/>
        <v>0</v>
      </c>
      <c r="F83" s="62">
        <f t="shared" si="3"/>
        <v>12</v>
      </c>
      <c r="G83" s="62">
        <f t="shared" si="3"/>
        <v>0</v>
      </c>
      <c r="H83" s="127">
        <f t="shared" si="3"/>
        <v>35</v>
      </c>
      <c r="I83" s="114">
        <f t="shared" si="2"/>
        <v>81</v>
      </c>
      <c r="J83" s="66"/>
      <c r="L83" s="68"/>
      <c r="M83" s="68"/>
      <c r="N83" s="54"/>
      <c r="O83" s="55"/>
    </row>
    <row r="84" spans="1:15" s="52" customFormat="1" ht="18.75">
      <c r="A84" s="64"/>
      <c r="B84" s="124" t="s">
        <v>313</v>
      </c>
      <c r="C84" s="125"/>
      <c r="D84" s="125"/>
      <c r="E84" s="125"/>
      <c r="F84" s="125"/>
      <c r="G84" s="125"/>
      <c r="H84" s="125"/>
      <c r="I84" s="131"/>
      <c r="L84" s="68"/>
      <c r="M84" s="68"/>
      <c r="N84" s="54"/>
      <c r="O84" s="55"/>
    </row>
    <row r="85" spans="1:15" s="52" customFormat="1" ht="11.25">
      <c r="A85" s="64"/>
      <c r="B85" s="85" t="s">
        <v>699</v>
      </c>
      <c r="C85" s="61">
        <f>SUMPRODUCT(($C$456:$C$540=B85)*($H$456:$H$540=$C$58))</f>
        <v>0</v>
      </c>
      <c r="D85" s="61">
        <f>SUMPRODUCT(($C$456:$C$540=B85)*($H$456:$H$540=$D$58))</f>
        <v>1</v>
      </c>
      <c r="E85" s="61">
        <f>SUMPRODUCT(($C$456:$C$540=B85)*($H$456:$H$540=$E$58))</f>
        <v>0</v>
      </c>
      <c r="F85" s="61">
        <f>SUMPRODUCT(($C$456:$C$540=B85)*($H$456:$H$540=$F$58))</f>
        <v>0</v>
      </c>
      <c r="G85" s="61">
        <f>SUMPRODUCT(($C$456:$C$540=B85)*($H$456:$H$540=$G$58))</f>
        <v>0</v>
      </c>
      <c r="H85" s="121">
        <f>SUMPRODUCT(($C$456:$C$540=B85)*($H$456:$H$540=$H$58))</f>
        <v>0</v>
      </c>
      <c r="I85" s="130">
        <f>SUM(C85:H85)</f>
        <v>1</v>
      </c>
      <c r="L85" s="68"/>
      <c r="M85" s="68"/>
      <c r="N85" s="54"/>
      <c r="O85" s="55"/>
    </row>
    <row r="86" spans="1:15" s="52" customFormat="1" ht="11.25">
      <c r="A86" s="64"/>
      <c r="B86" s="85" t="s">
        <v>781</v>
      </c>
      <c r="C86" s="61">
        <f>SUMPRODUCT(($C$456:$C$540=B86)*($H$456:$H$540=$C$58))</f>
        <v>0</v>
      </c>
      <c r="D86" s="61">
        <f>SUMPRODUCT(($C$456:$C$540=B86)*($H$456:$H$540=$D$58))</f>
        <v>0</v>
      </c>
      <c r="E86" s="61">
        <f>SUMPRODUCT(($C$456:$C$540=B86)*($H$456:$H$540=$E$58))</f>
        <v>0</v>
      </c>
      <c r="F86" s="61">
        <f>SUMPRODUCT(($C$456:$C$540=B86)*($H$456:$H$540=$F$58))</f>
        <v>0</v>
      </c>
      <c r="G86" s="61">
        <f>SUMPRODUCT(($C$456:$C$540=B86)*($H$456:$H$540=$G$58))</f>
        <v>0</v>
      </c>
      <c r="H86" s="121">
        <f>SUMPRODUCT(($C$456:$C$540=B86)*($H$456:$H$540=$H$58))</f>
        <v>0</v>
      </c>
      <c r="I86" s="130">
        <f>SUM(C86:H86)</f>
        <v>0</v>
      </c>
      <c r="L86" s="68"/>
      <c r="M86" s="68"/>
      <c r="N86" s="54"/>
      <c r="O86" s="55"/>
    </row>
    <row r="87" spans="1:15" s="52" customFormat="1" ht="11.25">
      <c r="A87" s="64"/>
      <c r="B87" s="85" t="s">
        <v>246</v>
      </c>
      <c r="C87" s="61">
        <f>SUMPRODUCT(($C$456:$C$540=B87)*($H$456:$H$540=$C$58))</f>
        <v>0</v>
      </c>
      <c r="D87" s="61">
        <f>SUMPRODUCT(($C$456:$C$540=B87)*($H$456:$H$540=$D$58))</f>
        <v>9</v>
      </c>
      <c r="E87" s="61">
        <f>SUMPRODUCT(($C$456:$C$540=B87)*($H$456:$H$540=$E$58))</f>
        <v>0</v>
      </c>
      <c r="F87" s="61">
        <f>SUMPRODUCT(($C$456:$C$540=B87)*($H$456:$H$540=$F$58))</f>
        <v>2</v>
      </c>
      <c r="G87" s="61">
        <f>SUMPRODUCT(($C$456:$C$540=B87)*($H$456:$H$540=$G$58))</f>
        <v>0</v>
      </c>
      <c r="H87" s="121">
        <f>SUMPRODUCT(($C$456:$C$540=B87)*($H$456:$H$540=$H$58))</f>
        <v>0</v>
      </c>
      <c r="I87" s="130">
        <f>SUM(C87:H87)</f>
        <v>11</v>
      </c>
      <c r="L87" s="68"/>
      <c r="M87" s="68"/>
      <c r="N87" s="54"/>
      <c r="O87" s="55"/>
    </row>
    <row r="88" spans="1:15" s="52" customFormat="1" ht="11.25">
      <c r="A88" s="64"/>
      <c r="B88" s="85" t="s">
        <v>145</v>
      </c>
      <c r="C88" s="61">
        <f>SUMPRODUCT(($C$456:$C$540=B88)*($H$456:$H$540=$C$58))</f>
        <v>0</v>
      </c>
      <c r="D88" s="61">
        <f>SUMPRODUCT(($C$456:$C$540=B88)*($H$456:$H$540=$D$58))</f>
        <v>1</v>
      </c>
      <c r="E88" s="61">
        <f>SUMPRODUCT(($C$456:$C$540=B88)*($H$456:$H$540=$E$58))</f>
        <v>0</v>
      </c>
      <c r="F88" s="61">
        <f>SUMPRODUCT(($C$456:$C$540=B88)*($H$456:$H$540=$F$58))</f>
        <v>0</v>
      </c>
      <c r="G88" s="61">
        <f>SUMPRODUCT(($C$456:$C$540=B88)*($H$456:$H$540=$G$58))</f>
        <v>0</v>
      </c>
      <c r="H88" s="121">
        <f>SUMPRODUCT(($C$456:$C$540=B88)*($H$456:$H$540=$H$58))</f>
        <v>0</v>
      </c>
      <c r="I88" s="130">
        <f>SUM(C88:H88)</f>
        <v>1</v>
      </c>
      <c r="K88" s="54"/>
      <c r="L88" s="68"/>
      <c r="M88" s="68"/>
      <c r="N88" s="54"/>
      <c r="O88" s="55"/>
    </row>
    <row r="89" spans="1:15" s="52" customFormat="1" ht="11.25">
      <c r="A89" s="64"/>
      <c r="B89" s="85" t="s">
        <v>1047</v>
      </c>
      <c r="C89" s="61">
        <f>SUMPRODUCT(($C$456:$C$540=B89)*($H$456:$H$540=$C$58))</f>
        <v>0</v>
      </c>
      <c r="D89" s="61">
        <f>SUMPRODUCT(($C$456:$C$540=B89)*($H$456:$H$540=$D$58))</f>
        <v>41</v>
      </c>
      <c r="E89" s="61">
        <f>SUMPRODUCT(($C$456:$C$540=B89)*($H$456:$H$540=$E$58))</f>
        <v>0</v>
      </c>
      <c r="F89" s="61">
        <f>SUMPRODUCT(($C$456:$C$540=B89)*($H$456:$H$540=$F$58))</f>
        <v>7</v>
      </c>
      <c r="G89" s="61">
        <f>SUMPRODUCT(($C$456:$C$540=B89)*($H$456:$H$540=$G$58))</f>
        <v>0</v>
      </c>
      <c r="H89" s="121">
        <f>SUMPRODUCT(($C$456:$C$540=B89)*($H$456:$H$540=$H$58))</f>
        <v>0</v>
      </c>
      <c r="I89" s="130">
        <f>SUM(C89:H89)</f>
        <v>48</v>
      </c>
      <c r="K89" s="54"/>
      <c r="L89" s="68"/>
      <c r="M89" s="68"/>
      <c r="N89" s="54"/>
      <c r="O89" s="55"/>
    </row>
    <row r="90" spans="1:15" s="52" customFormat="1" ht="11.25">
      <c r="A90" s="64"/>
      <c r="B90" s="85" t="s">
        <v>1010</v>
      </c>
      <c r="C90" s="61">
        <f>SUMPRODUCT(($C$456:$C$540=B90)*($H$456:$H$540=$C$58))</f>
        <v>0</v>
      </c>
      <c r="D90" s="61">
        <f>SUMPRODUCT(($C$456:$C$540=B90)*($H$456:$H$540=$D$58))</f>
        <v>0</v>
      </c>
      <c r="E90" s="61">
        <f>SUMPRODUCT(($C$456:$C$540=B90)*($H$456:$H$540=$E$58))</f>
        <v>0</v>
      </c>
      <c r="F90" s="61">
        <f>SUMPRODUCT(($C$456:$C$540=B90)*($H$456:$H$540=$F$58))</f>
        <v>14</v>
      </c>
      <c r="G90" s="61">
        <f>SUMPRODUCT(($C$456:$C$540=B90)*($H$456:$H$540=$G$58))</f>
        <v>0</v>
      </c>
      <c r="H90" s="121">
        <f>SUMPRODUCT(($C$456:$C$540=B90)*($H$456:$H$540=$H$58))</f>
        <v>0</v>
      </c>
      <c r="I90" s="130">
        <f>SUM(C90:H90)</f>
        <v>14</v>
      </c>
      <c r="K90" s="54"/>
      <c r="L90" s="68"/>
      <c r="M90" s="68"/>
      <c r="N90" s="54"/>
      <c r="O90" s="55"/>
    </row>
    <row r="91" spans="1:15" s="52" customFormat="1" ht="11.25">
      <c r="A91" s="64"/>
      <c r="B91" s="85" t="s">
        <v>1157</v>
      </c>
      <c r="C91" s="61">
        <f>SUMPRODUCT(($C$456:$C$540=B91)*($H$456:$H$540=$C$58))</f>
        <v>0</v>
      </c>
      <c r="D91" s="61">
        <f>SUMPRODUCT(($C$456:$C$540=B91)*($H$456:$H$540=$D$58))</f>
        <v>0</v>
      </c>
      <c r="E91" s="61">
        <f>SUMPRODUCT(($C$456:$C$540=B91)*($H$456:$H$540=$E$58))</f>
        <v>0</v>
      </c>
      <c r="F91" s="61">
        <f>SUMPRODUCT(($C$456:$C$540=B91)*($H$456:$H$540=$F$58))</f>
        <v>0</v>
      </c>
      <c r="G91" s="61">
        <f>SUMPRODUCT(($C$456:$C$540=B91)*($H$456:$H$540=$G$58))</f>
        <v>1</v>
      </c>
      <c r="H91" s="121">
        <f>SUMPRODUCT(($C$456:$C$540=B91)*($H$456:$H$540=$H$58))</f>
        <v>0</v>
      </c>
      <c r="I91" s="130">
        <f>SUM(C91:H91)</f>
        <v>1</v>
      </c>
      <c r="K91" s="54"/>
      <c r="L91" s="68"/>
      <c r="M91" s="68"/>
      <c r="N91" s="54"/>
      <c r="O91" s="55"/>
    </row>
    <row r="92" spans="1:15" s="52" customFormat="1" ht="11.25">
      <c r="A92" s="64"/>
      <c r="B92" s="91" t="s">
        <v>129</v>
      </c>
      <c r="C92" s="92">
        <f aca="true" t="shared" si="4" ref="C92:H92">SUM(C85:C91)</f>
        <v>0</v>
      </c>
      <c r="D92" s="92">
        <f t="shared" si="4"/>
        <v>52</v>
      </c>
      <c r="E92" s="92">
        <f t="shared" si="4"/>
        <v>0</v>
      </c>
      <c r="F92" s="92">
        <f t="shared" si="4"/>
        <v>23</v>
      </c>
      <c r="G92" s="92">
        <f t="shared" si="4"/>
        <v>1</v>
      </c>
      <c r="H92" s="122">
        <f t="shared" si="4"/>
        <v>0</v>
      </c>
      <c r="I92" s="114">
        <f>SUM(C92:H92)</f>
        <v>76</v>
      </c>
      <c r="K92" s="54"/>
      <c r="L92" s="68"/>
      <c r="M92" s="68"/>
      <c r="N92" s="54"/>
      <c r="O92" s="55"/>
    </row>
    <row r="93" spans="1:15" s="52" customFormat="1" ht="18.75">
      <c r="A93" s="64"/>
      <c r="B93" s="93" t="s">
        <v>792</v>
      </c>
      <c r="C93" s="94"/>
      <c r="D93" s="94"/>
      <c r="E93" s="94"/>
      <c r="F93" s="94"/>
      <c r="G93" s="94"/>
      <c r="H93" s="94"/>
      <c r="I93" s="95"/>
      <c r="J93" s="66"/>
      <c r="K93" s="54"/>
      <c r="L93" s="68"/>
      <c r="M93" s="68"/>
      <c r="N93" s="54"/>
      <c r="O93" s="55"/>
    </row>
    <row r="94" spans="1:15" s="52" customFormat="1" ht="11.25">
      <c r="A94" s="64"/>
      <c r="B94" s="85" t="s">
        <v>713</v>
      </c>
      <c r="C94" s="61">
        <f>SUMPRODUCT(($C$607:$C$639=B94)*($H$607:$H$639=$C$58))</f>
        <v>0</v>
      </c>
      <c r="D94" s="61">
        <f>SUMPRODUCT(($C$607:$C$639=B94)*($H$607:$H$639=$D$58))</f>
        <v>0</v>
      </c>
      <c r="E94" s="61">
        <f>SUMPRODUCT(($C$607:$C$639=B94)*($H$607:$H$639=$E$58))</f>
        <v>0</v>
      </c>
      <c r="F94" s="61">
        <f>SUMPRODUCT(($C$607:$C$639=B94)*($H$607:$H$639=$F$58))</f>
        <v>0</v>
      </c>
      <c r="G94" s="61">
        <f>SUMPRODUCT(($C$607:$C$639=B94)*($H$607:$H$639=$G$58))</f>
        <v>0</v>
      </c>
      <c r="H94" s="121">
        <f>SUMPRODUCT(($C$607:$C$639=B94)*($H$607:$H$639=$H$58))</f>
        <v>0</v>
      </c>
      <c r="I94" s="130">
        <f aca="true" t="shared" si="5" ref="I94:I105">SUM(C94:H94)</f>
        <v>0</v>
      </c>
      <c r="J94" s="66"/>
      <c r="K94" s="101"/>
      <c r="L94" s="68"/>
      <c r="M94" s="68"/>
      <c r="N94" s="54"/>
      <c r="O94" s="55"/>
    </row>
    <row r="95" spans="1:15" s="52" customFormat="1" ht="11.25">
      <c r="A95" s="64"/>
      <c r="B95" s="85" t="s">
        <v>152</v>
      </c>
      <c r="C95" s="61">
        <f>SUMPRODUCT(($C$607:$C$639=B95)*($H$607:$H$639=$C$58))</f>
        <v>0</v>
      </c>
      <c r="D95" s="61">
        <f>SUMPRODUCT(($C$607:$C$639=B95)*($H$607:$H$639=$D$58))</f>
        <v>8</v>
      </c>
      <c r="E95" s="61">
        <f>SUMPRODUCT(($C$607:$C$639=B95)*($H$607:$H$639=$E$58))</f>
        <v>0</v>
      </c>
      <c r="F95" s="61">
        <f>SUMPRODUCT(($C$607:$C$639=B95)*($H$607:$H$639=$F$58))</f>
        <v>0</v>
      </c>
      <c r="G95" s="61">
        <f>SUMPRODUCT(($C$607:$C$639=B95)*($H$607:$H$639=$G$58))</f>
        <v>0</v>
      </c>
      <c r="H95" s="121">
        <f>SUMPRODUCT(($C$607:$C$639=B95)*($H$607:$H$639=$H$58))</f>
        <v>0</v>
      </c>
      <c r="I95" s="130">
        <f t="shared" si="5"/>
        <v>8</v>
      </c>
      <c r="J95" s="66"/>
      <c r="K95" s="101"/>
      <c r="L95" s="68"/>
      <c r="M95" s="68"/>
      <c r="N95" s="54"/>
      <c r="O95" s="55"/>
    </row>
    <row r="96" spans="1:15" s="52" customFormat="1" ht="11.25">
      <c r="A96" s="64"/>
      <c r="B96" s="85" t="s">
        <v>1058</v>
      </c>
      <c r="C96" s="61">
        <f>SUMPRODUCT(($C$607:$C$639=B96)*($H$607:$H$639=$C$58))</f>
        <v>3</v>
      </c>
      <c r="D96" s="61">
        <f>SUMPRODUCT(($C$607:$C$639=B96)*($H$607:$H$639=$D$58))</f>
        <v>3</v>
      </c>
      <c r="E96" s="61">
        <f>SUMPRODUCT(($C$607:$C$639=B96)*($H$607:$H$639=$E$58))</f>
        <v>0</v>
      </c>
      <c r="F96" s="61">
        <f>SUMPRODUCT(($C$607:$C$639=B96)*($H$607:$H$639=$F$58))</f>
        <v>0</v>
      </c>
      <c r="G96" s="61">
        <f>SUMPRODUCT(($C$607:$C$639=B96)*($H$607:$H$639=$G$58))</f>
        <v>0</v>
      </c>
      <c r="H96" s="121">
        <f>SUMPRODUCT(($C$607:$C$639=B96)*($H$607:$H$639=$H$58))</f>
        <v>0</v>
      </c>
      <c r="I96" s="130">
        <f t="shared" si="5"/>
        <v>6</v>
      </c>
      <c r="J96" s="66"/>
      <c r="K96" s="101"/>
      <c r="L96" s="68"/>
      <c r="M96" s="68"/>
      <c r="N96" s="54"/>
      <c r="O96" s="55"/>
    </row>
    <row r="97" spans="1:15" s="52" customFormat="1" ht="11.25">
      <c r="A97" s="64"/>
      <c r="B97" s="85" t="s">
        <v>341</v>
      </c>
      <c r="C97" s="61">
        <f>SUMPRODUCT(($C$607:$C$639=B97)*($H$607:$H$639=$C$58))</f>
        <v>0</v>
      </c>
      <c r="D97" s="61">
        <f>SUMPRODUCT(($C$607:$C$639=B97)*($H$607:$H$639=$D$58))</f>
        <v>0</v>
      </c>
      <c r="E97" s="61">
        <f>SUMPRODUCT(($C$607:$C$639=B97)*($H$607:$H$639=$E$58))</f>
        <v>0</v>
      </c>
      <c r="F97" s="61">
        <f>SUMPRODUCT(($C$607:$C$639=B97)*($H$607:$H$639=$F$58))</f>
        <v>0</v>
      </c>
      <c r="G97" s="61">
        <f>SUMPRODUCT(($C$607:$C$639=B97)*($H$607:$H$639=$G$58))</f>
        <v>10</v>
      </c>
      <c r="H97" s="121">
        <f>SUMPRODUCT(($C$607:$C$639=B97)*($H$607:$H$639=$H$58))</f>
        <v>0</v>
      </c>
      <c r="I97" s="130">
        <f t="shared" si="5"/>
        <v>10</v>
      </c>
      <c r="J97" s="66"/>
      <c r="K97" s="101"/>
      <c r="L97" s="68"/>
      <c r="M97" s="68"/>
      <c r="N97" s="54"/>
      <c r="O97" s="55"/>
    </row>
    <row r="98" spans="1:15" s="52" customFormat="1" ht="11.25">
      <c r="A98" s="64"/>
      <c r="B98" s="91" t="s">
        <v>127</v>
      </c>
      <c r="C98" s="92">
        <f aca="true" t="shared" si="6" ref="C98:H98">SUM(C94:C97)</f>
        <v>3</v>
      </c>
      <c r="D98" s="92">
        <f t="shared" si="6"/>
        <v>11</v>
      </c>
      <c r="E98" s="92">
        <f t="shared" si="6"/>
        <v>0</v>
      </c>
      <c r="F98" s="92">
        <f t="shared" si="6"/>
        <v>0</v>
      </c>
      <c r="G98" s="92">
        <f t="shared" si="6"/>
        <v>10</v>
      </c>
      <c r="H98" s="122">
        <f t="shared" si="6"/>
        <v>0</v>
      </c>
      <c r="I98" s="114">
        <f t="shared" si="5"/>
        <v>24</v>
      </c>
      <c r="J98" s="66"/>
      <c r="K98" s="101"/>
      <c r="L98" s="68"/>
      <c r="M98" s="68"/>
      <c r="N98" s="54"/>
      <c r="O98" s="55"/>
    </row>
    <row r="99" spans="1:15" s="52" customFormat="1" ht="18.75">
      <c r="A99" s="64"/>
      <c r="B99" s="93" t="s">
        <v>791</v>
      </c>
      <c r="C99" s="94"/>
      <c r="D99" s="94"/>
      <c r="E99" s="94"/>
      <c r="F99" s="94"/>
      <c r="G99" s="94"/>
      <c r="H99" s="94"/>
      <c r="I99" s="95"/>
      <c r="J99" s="66"/>
      <c r="K99" s="101"/>
      <c r="L99" s="68"/>
      <c r="M99" s="68"/>
      <c r="N99" s="54"/>
      <c r="O99" s="55"/>
    </row>
    <row r="100" spans="1:15" s="52" customFormat="1" ht="11.25">
      <c r="A100" s="64"/>
      <c r="B100" s="85" t="s">
        <v>1038</v>
      </c>
      <c r="C100" s="61">
        <f>SUMPRODUCT(($C$668:$C$699=B100)*($H$668:$H$699=$C$58))</f>
        <v>0</v>
      </c>
      <c r="D100" s="61">
        <f>SUMPRODUCT(($C$668:$C$699=B100)*($H$668:$H$699=$D$58))</f>
        <v>0</v>
      </c>
      <c r="E100" s="61">
        <f>SUMPRODUCT(($C$668:$C$699=B100)*($H$668:$H$699=$E$58))</f>
        <v>2</v>
      </c>
      <c r="F100" s="61">
        <f>SUMPRODUCT(($C$668:$C$699=B100)*($H$668:$H$699=$F$58))</f>
        <v>12</v>
      </c>
      <c r="G100" s="61">
        <f>SUMPRODUCT(($C$668:$C$699=B100)*($H$668:$H$699=$G$58))</f>
        <v>0</v>
      </c>
      <c r="H100" s="121">
        <f>SUMPRODUCT(($C$668:$C$699=B100)*($H$668:$H$699=$H$58))</f>
        <v>0</v>
      </c>
      <c r="I100" s="130">
        <f t="shared" si="5"/>
        <v>14</v>
      </c>
      <c r="J100" s="66"/>
      <c r="L100" s="68"/>
      <c r="M100" s="68"/>
      <c r="N100" s="54"/>
      <c r="O100" s="55"/>
    </row>
    <row r="101" spans="1:15" s="52" customFormat="1" ht="11.25">
      <c r="A101" s="64"/>
      <c r="B101" s="85" t="s">
        <v>733</v>
      </c>
      <c r="C101" s="61">
        <f>SUMPRODUCT(($C$668:$C$699=B101)*($H$668:$H$699=$C$58))</f>
        <v>1</v>
      </c>
      <c r="D101" s="61">
        <f>SUMPRODUCT(($C$668:$C$699=B101)*($H$668:$H$699=$D$58))</f>
        <v>0</v>
      </c>
      <c r="E101" s="61">
        <f>SUMPRODUCT(($C$668:$C$699=B101)*($H$668:$H$699=$E$58))</f>
        <v>0</v>
      </c>
      <c r="F101" s="61">
        <f>SUMPRODUCT(($C$668:$C$699=B101)*($H$668:$H$699=$F$58))</f>
        <v>0</v>
      </c>
      <c r="G101" s="61">
        <f>SUMPRODUCT(($C$668:$C$699=B101)*($H$668:$H$699=$G$58))</f>
        <v>0</v>
      </c>
      <c r="H101" s="121">
        <f>SUMPRODUCT(($C$668:$C$699=B101)*($H$668:$H$699=$H$58))</f>
        <v>0</v>
      </c>
      <c r="I101" s="130">
        <f t="shared" si="5"/>
        <v>1</v>
      </c>
      <c r="J101" s="66"/>
      <c r="L101" s="68"/>
      <c r="M101" s="68"/>
      <c r="N101" s="54"/>
      <c r="O101" s="55"/>
    </row>
    <row r="102" spans="1:15" s="52" customFormat="1" ht="11.25">
      <c r="A102" s="64"/>
      <c r="B102" s="85" t="s">
        <v>664</v>
      </c>
      <c r="C102" s="61">
        <f>SUMPRODUCT(($C$668:$C$699=B102)*($H$668:$H$699=$C$58))</f>
        <v>1</v>
      </c>
      <c r="D102" s="61">
        <f>SUMPRODUCT(($C$668:$C$699=B102)*($H$668:$H$699=$D$58))</f>
        <v>0</v>
      </c>
      <c r="E102" s="61">
        <f>SUMPRODUCT(($C$668:$C$699=B102)*($H$668:$H$699=$E$58))</f>
        <v>0</v>
      </c>
      <c r="F102" s="61">
        <f>SUMPRODUCT(($C$668:$C$699=B102)*($H$668:$H$699=$F$58))</f>
        <v>0</v>
      </c>
      <c r="G102" s="61">
        <f>SUMPRODUCT(($C$668:$C$699=B102)*($H$668:$H$699=$G$58))</f>
        <v>0</v>
      </c>
      <c r="H102" s="121">
        <f>SUMPRODUCT(($C$668:$C$699=B102)*($H$668:$H$699=$H$58))</f>
        <v>0</v>
      </c>
      <c r="I102" s="130">
        <f t="shared" si="5"/>
        <v>1</v>
      </c>
      <c r="J102" s="66"/>
      <c r="L102" s="68"/>
      <c r="M102" s="68"/>
      <c r="N102" s="54"/>
      <c r="O102" s="55"/>
    </row>
    <row r="103" spans="1:15" s="52" customFormat="1" ht="11.25">
      <c r="A103" s="64"/>
      <c r="B103" s="85" t="s">
        <v>217</v>
      </c>
      <c r="C103" s="61">
        <f>SUMPRODUCT(($C$668:$C$699=B103)*($H$668:$H$699=$C$58))</f>
        <v>0</v>
      </c>
      <c r="D103" s="61">
        <f>SUMPRODUCT(($C$668:$C$699=B103)*($H$668:$H$699=$D$58))</f>
        <v>3</v>
      </c>
      <c r="E103" s="61">
        <f>SUMPRODUCT(($C$668:$C$699=B103)*($H$668:$H$699=$E$58))</f>
        <v>0</v>
      </c>
      <c r="F103" s="61">
        <f>SUMPRODUCT(($C$668:$C$699=B103)*($H$668:$H$699=$F$58))</f>
        <v>0</v>
      </c>
      <c r="G103" s="61">
        <f>SUMPRODUCT(($C$668:$C$699=B103)*($H$668:$H$699=$G$58))</f>
        <v>0</v>
      </c>
      <c r="H103" s="121">
        <f>SUMPRODUCT(($C$668:$C$699=B103)*($H$668:$H$699=$H$58))</f>
        <v>0</v>
      </c>
      <c r="I103" s="130">
        <f t="shared" si="5"/>
        <v>3</v>
      </c>
      <c r="J103" s="66"/>
      <c r="L103" s="68"/>
      <c r="M103" s="68"/>
      <c r="N103" s="54"/>
      <c r="O103" s="55"/>
    </row>
    <row r="104" spans="1:15" s="52" customFormat="1" ht="11.25">
      <c r="A104" s="64"/>
      <c r="B104" s="85" t="s">
        <v>174</v>
      </c>
      <c r="C104" s="61">
        <f>SUMPRODUCT(($C$668:$C$699=B104)*($H$668:$H$699=$C$58))</f>
        <v>1</v>
      </c>
      <c r="D104" s="61">
        <f>SUMPRODUCT(($C$668:$C$699=B104)*($H$668:$H$699=$D$58))</f>
        <v>2</v>
      </c>
      <c r="E104" s="61">
        <f>SUMPRODUCT(($C$668:$C$699=B104)*($H$668:$H$699=$E$58))</f>
        <v>0</v>
      </c>
      <c r="F104" s="61">
        <f>SUMPRODUCT(($C$668:$C$699=B104)*($H$668:$H$699=$F$58))</f>
        <v>0</v>
      </c>
      <c r="G104" s="61">
        <f>SUMPRODUCT(($C$668:$C$699=B104)*($H$668:$H$699=$G$58))</f>
        <v>0</v>
      </c>
      <c r="H104" s="121">
        <f>SUMPRODUCT(($C$668:$C$699=B104)*($H$668:$H$699=$H$58))</f>
        <v>0</v>
      </c>
      <c r="I104" s="130">
        <f t="shared" si="5"/>
        <v>3</v>
      </c>
      <c r="J104" s="66"/>
      <c r="L104" s="68"/>
      <c r="M104" s="68"/>
      <c r="N104" s="54"/>
      <c r="O104" s="55"/>
    </row>
    <row r="105" spans="1:15" s="52" customFormat="1" ht="12" thickBot="1">
      <c r="A105" s="64"/>
      <c r="B105" s="87" t="s">
        <v>130</v>
      </c>
      <c r="C105" s="90">
        <f>SUM(C100:C104)</f>
        <v>3</v>
      </c>
      <c r="D105" s="90">
        <f>SUM(D100:D104)</f>
        <v>5</v>
      </c>
      <c r="E105" s="90">
        <f>SUM(E100:E104)</f>
        <v>2</v>
      </c>
      <c r="F105" s="90">
        <f>SUM(F100:F104)</f>
        <v>12</v>
      </c>
      <c r="G105" s="90">
        <f>SUM(G100:G104)</f>
        <v>0</v>
      </c>
      <c r="H105" s="123">
        <f>SUM(H100:H104)</f>
        <v>0</v>
      </c>
      <c r="I105" s="117">
        <f t="shared" si="5"/>
        <v>22</v>
      </c>
      <c r="J105" s="66"/>
      <c r="L105" s="68"/>
      <c r="M105" s="68"/>
      <c r="N105" s="54"/>
      <c r="O105" s="55"/>
    </row>
    <row r="106" spans="1:15" s="52" customFormat="1" ht="12.75" thickBot="1" thickTop="1">
      <c r="A106" s="64"/>
      <c r="B106" s="65"/>
      <c r="C106" s="65"/>
      <c r="D106" s="65"/>
      <c r="E106" s="55"/>
      <c r="F106" s="66"/>
      <c r="G106" s="67"/>
      <c r="H106" s="66"/>
      <c r="I106" s="66"/>
      <c r="J106" s="66"/>
      <c r="L106" s="68"/>
      <c r="M106" s="68"/>
      <c r="N106" s="54"/>
      <c r="O106" s="55"/>
    </row>
    <row r="107" spans="1:15" s="52" customFormat="1" ht="12" thickTop="1">
      <c r="A107" s="64"/>
      <c r="B107" s="108" t="s">
        <v>123</v>
      </c>
      <c r="C107" s="109" t="s">
        <v>118</v>
      </c>
      <c r="D107" s="109"/>
      <c r="E107" s="109"/>
      <c r="F107" s="109"/>
      <c r="G107" s="109"/>
      <c r="H107" s="109"/>
      <c r="I107" s="110" t="s">
        <v>117</v>
      </c>
      <c r="J107" s="66"/>
      <c r="L107" s="68"/>
      <c r="M107" s="68"/>
      <c r="N107" s="54"/>
      <c r="O107" s="55"/>
    </row>
    <row r="108" spans="1:15" s="52" customFormat="1" ht="11.25">
      <c r="A108" s="64"/>
      <c r="B108" s="111"/>
      <c r="C108" s="107">
        <v>3</v>
      </c>
      <c r="D108" s="107">
        <v>5</v>
      </c>
      <c r="E108" s="107">
        <v>7</v>
      </c>
      <c r="F108" s="107">
        <v>10</v>
      </c>
      <c r="G108" s="107">
        <v>15</v>
      </c>
      <c r="H108" s="107">
        <v>49</v>
      </c>
      <c r="I108" s="112"/>
      <c r="J108" s="66"/>
      <c r="L108" s="68"/>
      <c r="M108" s="68"/>
      <c r="N108" s="54"/>
      <c r="O108" s="55"/>
    </row>
    <row r="109" spans="1:15" s="52" customFormat="1" ht="11.25">
      <c r="A109" s="64"/>
      <c r="B109" s="113" t="s">
        <v>306</v>
      </c>
      <c r="C109" s="36">
        <f>C71</f>
        <v>3</v>
      </c>
      <c r="D109" s="36">
        <f>D71</f>
        <v>13</v>
      </c>
      <c r="E109" s="36">
        <f>E71</f>
        <v>38</v>
      </c>
      <c r="F109" s="36">
        <f>F71</f>
        <v>6</v>
      </c>
      <c r="G109" s="36">
        <f>G71</f>
        <v>13</v>
      </c>
      <c r="H109" s="36">
        <f>H71</f>
        <v>2</v>
      </c>
      <c r="I109" s="114">
        <f>SUM(C109:H109)</f>
        <v>75</v>
      </c>
      <c r="J109" s="119">
        <f>I109/$I$114</f>
        <v>0.2697841726618705</v>
      </c>
      <c r="L109" s="68"/>
      <c r="M109" s="68"/>
      <c r="N109" s="54"/>
      <c r="O109" s="55"/>
    </row>
    <row r="110" spans="1:15" s="52" customFormat="1" ht="11.25">
      <c r="A110" s="64"/>
      <c r="B110" s="113" t="s">
        <v>307</v>
      </c>
      <c r="C110" s="36">
        <f>C83</f>
        <v>0</v>
      </c>
      <c r="D110" s="36">
        <f>D83</f>
        <v>34</v>
      </c>
      <c r="E110" s="36">
        <f>E83</f>
        <v>0</v>
      </c>
      <c r="F110" s="36">
        <f>F83</f>
        <v>12</v>
      </c>
      <c r="G110" s="36">
        <f>G83</f>
        <v>0</v>
      </c>
      <c r="H110" s="36">
        <f>H83</f>
        <v>35</v>
      </c>
      <c r="I110" s="114">
        <f>SUM(C110:H110)</f>
        <v>81</v>
      </c>
      <c r="J110" s="119">
        <f>I110/$I$114</f>
        <v>0.29136690647482016</v>
      </c>
      <c r="L110" s="68"/>
      <c r="M110" s="68"/>
      <c r="N110" s="54"/>
      <c r="O110" s="55"/>
    </row>
    <row r="111" spans="1:15" s="52" customFormat="1" ht="11.25">
      <c r="A111" s="64"/>
      <c r="B111" s="113" t="s">
        <v>135</v>
      </c>
      <c r="C111" s="36">
        <f>C92</f>
        <v>0</v>
      </c>
      <c r="D111" s="36">
        <f>D92</f>
        <v>52</v>
      </c>
      <c r="E111" s="36">
        <f>E92</f>
        <v>0</v>
      </c>
      <c r="F111" s="36">
        <f>F92</f>
        <v>23</v>
      </c>
      <c r="G111" s="36">
        <f>G92</f>
        <v>1</v>
      </c>
      <c r="H111" s="36">
        <f>H92</f>
        <v>0</v>
      </c>
      <c r="I111" s="114">
        <f>SUM(C111:H111)</f>
        <v>76</v>
      </c>
      <c r="J111" s="119">
        <f>I111/$I$114</f>
        <v>0.2733812949640288</v>
      </c>
      <c r="L111" s="68"/>
      <c r="M111" s="68"/>
      <c r="N111" s="54"/>
      <c r="O111" s="55"/>
    </row>
    <row r="112" spans="1:15" s="52" customFormat="1" ht="11.25">
      <c r="A112" s="64"/>
      <c r="B112" s="113" t="s">
        <v>309</v>
      </c>
      <c r="C112" s="36">
        <f>C98</f>
        <v>3</v>
      </c>
      <c r="D112" s="36">
        <f>D98</f>
        <v>11</v>
      </c>
      <c r="E112" s="36">
        <f>E98</f>
        <v>0</v>
      </c>
      <c r="F112" s="36">
        <f>F98</f>
        <v>0</v>
      </c>
      <c r="G112" s="36">
        <f>G98</f>
        <v>10</v>
      </c>
      <c r="H112" s="36">
        <f>H98</f>
        <v>0</v>
      </c>
      <c r="I112" s="114">
        <f>SUM(C112:H112)</f>
        <v>24</v>
      </c>
      <c r="J112" s="119">
        <f>I112/$I$114</f>
        <v>0.08633093525179857</v>
      </c>
      <c r="L112" s="68"/>
      <c r="M112" s="68"/>
      <c r="N112" s="54"/>
      <c r="O112" s="55"/>
    </row>
    <row r="113" spans="1:15" s="52" customFormat="1" ht="11.25">
      <c r="A113" s="64"/>
      <c r="B113" s="113" t="s">
        <v>305</v>
      </c>
      <c r="C113" s="36">
        <f>C105</f>
        <v>3</v>
      </c>
      <c r="D113" s="36">
        <f>D105</f>
        <v>5</v>
      </c>
      <c r="E113" s="36">
        <f>E105</f>
        <v>2</v>
      </c>
      <c r="F113" s="36">
        <f>F105</f>
        <v>12</v>
      </c>
      <c r="G113" s="36">
        <f>G105</f>
        <v>0</v>
      </c>
      <c r="H113" s="36">
        <f>H105</f>
        <v>0</v>
      </c>
      <c r="I113" s="114">
        <f>SUM(C113:H113)</f>
        <v>22</v>
      </c>
      <c r="J113" s="119">
        <f>I113/$I$114</f>
        <v>0.07913669064748201</v>
      </c>
      <c r="L113" s="68"/>
      <c r="M113" s="68"/>
      <c r="N113" s="54"/>
      <c r="O113" s="55"/>
    </row>
    <row r="114" spans="1:15" s="52" customFormat="1" ht="12" thickBot="1">
      <c r="A114" s="64"/>
      <c r="B114" s="115" t="s">
        <v>117</v>
      </c>
      <c r="C114" s="116">
        <f>SUM(C109:C113)</f>
        <v>9</v>
      </c>
      <c r="D114" s="116">
        <f>SUM(D109:D113)</f>
        <v>115</v>
      </c>
      <c r="E114" s="116">
        <f>SUM(E109:E113)</f>
        <v>40</v>
      </c>
      <c r="F114" s="116">
        <f>SUM(F109:F113)</f>
        <v>53</v>
      </c>
      <c r="G114" s="116">
        <f>SUM(G109:G113)</f>
        <v>24</v>
      </c>
      <c r="H114" s="116">
        <f>SUM(H109:H113)</f>
        <v>37</v>
      </c>
      <c r="I114" s="117">
        <f>SUM(I109:I113)</f>
        <v>278</v>
      </c>
      <c r="J114" s="66"/>
      <c r="L114" s="68"/>
      <c r="M114" s="68"/>
      <c r="N114" s="54"/>
      <c r="O114" s="55"/>
    </row>
    <row r="115" spans="1:15" s="52" customFormat="1" ht="12" thickTop="1">
      <c r="A115" s="64"/>
      <c r="B115" s="65"/>
      <c r="C115" s="118">
        <f>C114/$I$114</f>
        <v>0.03237410071942446</v>
      </c>
      <c r="D115" s="118">
        <f>D114/$I$114</f>
        <v>0.4136690647482014</v>
      </c>
      <c r="E115" s="118">
        <f>E114/$I$114</f>
        <v>0.14388489208633093</v>
      </c>
      <c r="F115" s="118">
        <f>F114/$I$114</f>
        <v>0.1906474820143885</v>
      </c>
      <c r="G115" s="118">
        <f>G114/$I$114</f>
        <v>0.08633093525179857</v>
      </c>
      <c r="H115" s="118">
        <f>H114/$I$114</f>
        <v>0.13309352517985612</v>
      </c>
      <c r="I115" s="66"/>
      <c r="J115" s="66"/>
      <c r="L115" s="68"/>
      <c r="M115" s="68"/>
      <c r="N115" s="54"/>
      <c r="O115" s="55"/>
    </row>
    <row r="116" spans="1:15" s="52" customFormat="1" ht="11.25">
      <c r="A116" s="64"/>
      <c r="B116" s="65"/>
      <c r="C116" s="53"/>
      <c r="D116" s="53"/>
      <c r="E116" s="55"/>
      <c r="F116" s="66"/>
      <c r="G116" s="66"/>
      <c r="H116" s="66"/>
      <c r="I116" s="66"/>
      <c r="J116" s="66"/>
      <c r="L116" s="68"/>
      <c r="M116" s="68"/>
      <c r="N116" s="54"/>
      <c r="O116" s="55"/>
    </row>
    <row r="117" spans="1:15" s="52" customFormat="1" ht="11.25">
      <c r="A117" s="64"/>
      <c r="B117" s="65"/>
      <c r="C117" s="53"/>
      <c r="D117" s="53"/>
      <c r="E117" s="55"/>
      <c r="F117" s="66"/>
      <c r="G117" s="66"/>
      <c r="H117" s="66"/>
      <c r="I117" s="66"/>
      <c r="J117" s="66"/>
      <c r="L117" s="68"/>
      <c r="M117" s="68"/>
      <c r="N117" s="54"/>
      <c r="O117" s="55"/>
    </row>
    <row r="118" spans="1:15" s="52" customFormat="1" ht="11.25">
      <c r="A118" s="64"/>
      <c r="B118" s="65"/>
      <c r="C118" s="65"/>
      <c r="D118" s="65"/>
      <c r="E118" s="55"/>
      <c r="F118" s="66"/>
      <c r="G118" s="67"/>
      <c r="H118" s="66"/>
      <c r="I118" s="66"/>
      <c r="J118" s="66"/>
      <c r="L118" s="68"/>
      <c r="M118" s="68"/>
      <c r="N118" s="54"/>
      <c r="O118" s="55"/>
    </row>
    <row r="119" spans="1:15" s="52" customFormat="1" ht="11.25">
      <c r="A119" s="64"/>
      <c r="B119" s="65"/>
      <c r="C119" s="65"/>
      <c r="D119" s="65"/>
      <c r="E119" s="55"/>
      <c r="F119" s="66"/>
      <c r="G119" s="67"/>
      <c r="H119" s="66"/>
      <c r="I119" s="66"/>
      <c r="J119" s="66"/>
      <c r="L119" s="68"/>
      <c r="M119" s="68"/>
      <c r="N119" s="54"/>
      <c r="O119" s="55"/>
    </row>
    <row r="120" spans="1:15" s="52" customFormat="1" ht="11.25">
      <c r="A120" s="64"/>
      <c r="B120" s="65"/>
      <c r="C120" s="65"/>
      <c r="D120" s="65"/>
      <c r="E120" s="55"/>
      <c r="F120" s="66"/>
      <c r="G120" s="67"/>
      <c r="H120" s="66"/>
      <c r="I120" s="66"/>
      <c r="J120" s="66"/>
      <c r="L120" s="68"/>
      <c r="M120" s="68"/>
      <c r="N120" s="54"/>
      <c r="O120" s="55"/>
    </row>
    <row r="121" spans="1:15" s="52" customFormat="1" ht="11.25">
      <c r="A121" s="64"/>
      <c r="B121" s="65"/>
      <c r="C121" s="65"/>
      <c r="D121" s="65"/>
      <c r="E121" s="55"/>
      <c r="F121" s="66"/>
      <c r="G121" s="67"/>
      <c r="H121" s="66"/>
      <c r="I121" s="66"/>
      <c r="J121" s="66"/>
      <c r="L121" s="68"/>
      <c r="M121" s="68"/>
      <c r="N121" s="54"/>
      <c r="O121" s="55"/>
    </row>
    <row r="122" spans="1:15" s="52" customFormat="1" ht="11.25">
      <c r="A122" s="64"/>
      <c r="B122" s="65"/>
      <c r="C122" s="65"/>
      <c r="D122" s="65"/>
      <c r="E122" s="55"/>
      <c r="F122" s="66"/>
      <c r="G122" s="67"/>
      <c r="H122" s="66"/>
      <c r="I122" s="66"/>
      <c r="J122" s="66"/>
      <c r="L122" s="68"/>
      <c r="M122" s="68"/>
      <c r="N122" s="54"/>
      <c r="O122" s="55"/>
    </row>
    <row r="123" spans="1:15" s="52" customFormat="1" ht="11.25">
      <c r="A123" s="64"/>
      <c r="B123" s="65"/>
      <c r="C123" s="65"/>
      <c r="D123" s="65"/>
      <c r="E123" s="55"/>
      <c r="F123" s="66"/>
      <c r="G123" s="67"/>
      <c r="H123" s="66"/>
      <c r="I123" s="66"/>
      <c r="J123" s="66"/>
      <c r="L123" s="68"/>
      <c r="M123" s="68"/>
      <c r="N123" s="54"/>
      <c r="O123" s="55"/>
    </row>
    <row r="124" spans="1:15" s="52" customFormat="1" ht="11.25">
      <c r="A124" s="64"/>
      <c r="B124" s="65"/>
      <c r="C124" s="65"/>
      <c r="D124" s="65"/>
      <c r="E124" s="55"/>
      <c r="F124" s="66"/>
      <c r="G124" s="67"/>
      <c r="H124" s="66"/>
      <c r="I124" s="66"/>
      <c r="J124" s="66"/>
      <c r="L124" s="68"/>
      <c r="M124" s="68"/>
      <c r="N124" s="54"/>
      <c r="O124" s="55"/>
    </row>
    <row r="125" spans="1:15" s="52" customFormat="1" ht="11.25">
      <c r="A125" s="64"/>
      <c r="B125" s="65"/>
      <c r="C125" s="65"/>
      <c r="D125" s="65"/>
      <c r="E125" s="55"/>
      <c r="F125" s="66"/>
      <c r="G125" s="67"/>
      <c r="H125" s="66"/>
      <c r="I125" s="66"/>
      <c r="J125" s="66"/>
      <c r="L125" s="68"/>
      <c r="M125" s="68"/>
      <c r="N125" s="54"/>
      <c r="O125" s="55"/>
    </row>
    <row r="126" spans="1:15" s="52" customFormat="1" ht="11.25">
      <c r="A126" s="64"/>
      <c r="B126" s="65"/>
      <c r="C126" s="65"/>
      <c r="D126" s="65"/>
      <c r="E126" s="55"/>
      <c r="F126" s="66"/>
      <c r="G126" s="67"/>
      <c r="H126" s="66"/>
      <c r="I126" s="66"/>
      <c r="J126" s="66"/>
      <c r="L126" s="68"/>
      <c r="M126" s="68"/>
      <c r="N126" s="54"/>
      <c r="O126" s="55"/>
    </row>
    <row r="127" spans="1:15" s="52" customFormat="1" ht="11.25">
      <c r="A127" s="64"/>
      <c r="B127" s="65"/>
      <c r="C127" s="65"/>
      <c r="D127" s="65"/>
      <c r="E127" s="55"/>
      <c r="F127" s="66"/>
      <c r="G127" s="67"/>
      <c r="H127" s="66"/>
      <c r="I127" s="66"/>
      <c r="J127" s="66"/>
      <c r="L127" s="68"/>
      <c r="M127" s="68"/>
      <c r="N127" s="54"/>
      <c r="O127" s="55"/>
    </row>
    <row r="128" spans="1:15" s="52" customFormat="1" ht="11.25">
      <c r="A128" s="64"/>
      <c r="B128" s="65"/>
      <c r="C128" s="65"/>
      <c r="D128" s="65"/>
      <c r="E128" s="55"/>
      <c r="F128" s="66"/>
      <c r="G128" s="67"/>
      <c r="H128" s="66"/>
      <c r="I128" s="66"/>
      <c r="J128" s="66"/>
      <c r="L128" s="68"/>
      <c r="M128" s="68"/>
      <c r="N128" s="54"/>
      <c r="O128" s="55"/>
    </row>
    <row r="129" spans="1:15" s="52" customFormat="1" ht="11.25">
      <c r="A129" s="64"/>
      <c r="B129" s="65"/>
      <c r="C129" s="65"/>
      <c r="D129" s="65"/>
      <c r="E129" s="55"/>
      <c r="F129" s="66"/>
      <c r="G129" s="67"/>
      <c r="H129" s="66"/>
      <c r="I129" s="66"/>
      <c r="J129" s="66"/>
      <c r="L129" s="68"/>
      <c r="M129" s="68"/>
      <c r="N129" s="54"/>
      <c r="O129" s="55"/>
    </row>
    <row r="130" spans="1:15" s="52" customFormat="1" ht="11.25">
      <c r="A130" s="64"/>
      <c r="B130" s="65"/>
      <c r="C130" s="65"/>
      <c r="D130" s="65"/>
      <c r="E130" s="55"/>
      <c r="F130" s="66"/>
      <c r="G130" s="67"/>
      <c r="H130" s="66"/>
      <c r="I130" s="66"/>
      <c r="J130" s="66"/>
      <c r="L130" s="68"/>
      <c r="M130" s="68"/>
      <c r="N130" s="54"/>
      <c r="O130" s="55"/>
    </row>
    <row r="131" spans="1:15" s="52" customFormat="1" ht="11.25">
      <c r="A131" s="64"/>
      <c r="B131" s="65"/>
      <c r="C131" s="65"/>
      <c r="D131" s="65"/>
      <c r="E131" s="55"/>
      <c r="F131" s="66"/>
      <c r="G131" s="67"/>
      <c r="H131" s="66"/>
      <c r="I131" s="66"/>
      <c r="J131" s="66"/>
      <c r="L131" s="68"/>
      <c r="M131" s="68"/>
      <c r="N131" s="54"/>
      <c r="O131" s="55"/>
    </row>
    <row r="132" spans="1:15" s="52" customFormat="1" ht="11.25">
      <c r="A132" s="64"/>
      <c r="B132" s="65"/>
      <c r="C132" s="65"/>
      <c r="D132" s="65"/>
      <c r="E132" s="55"/>
      <c r="F132" s="66"/>
      <c r="G132" s="67"/>
      <c r="H132" s="66"/>
      <c r="I132" s="66"/>
      <c r="J132" s="66"/>
      <c r="L132" s="68"/>
      <c r="M132" s="68"/>
      <c r="N132" s="54"/>
      <c r="O132" s="55"/>
    </row>
    <row r="133" spans="1:15" s="52" customFormat="1" ht="11.25">
      <c r="A133" s="64"/>
      <c r="B133" s="65"/>
      <c r="C133" s="65"/>
      <c r="D133" s="65"/>
      <c r="E133" s="55"/>
      <c r="F133" s="66"/>
      <c r="G133" s="67"/>
      <c r="H133" s="66"/>
      <c r="I133" s="66"/>
      <c r="J133" s="66"/>
      <c r="L133" s="68"/>
      <c r="M133" s="68"/>
      <c r="N133" s="54"/>
      <c r="O133" s="55"/>
    </row>
    <row r="134" spans="1:15" s="52" customFormat="1" ht="11.25">
      <c r="A134" s="64"/>
      <c r="B134" s="65"/>
      <c r="C134" s="65"/>
      <c r="D134" s="65"/>
      <c r="E134" s="55"/>
      <c r="F134" s="66"/>
      <c r="G134" s="67"/>
      <c r="H134" s="66"/>
      <c r="I134" s="66"/>
      <c r="J134" s="66"/>
      <c r="L134" s="68"/>
      <c r="M134" s="68"/>
      <c r="N134" s="54"/>
      <c r="O134" s="55"/>
    </row>
    <row r="135" spans="1:15" s="52" customFormat="1" ht="11.25">
      <c r="A135" s="64"/>
      <c r="B135" s="65"/>
      <c r="C135" s="65"/>
      <c r="D135" s="65"/>
      <c r="E135" s="55"/>
      <c r="F135" s="66"/>
      <c r="G135" s="67"/>
      <c r="H135" s="66"/>
      <c r="I135" s="66"/>
      <c r="J135" s="66"/>
      <c r="L135" s="68"/>
      <c r="M135" s="68"/>
      <c r="N135" s="54"/>
      <c r="O135" s="55"/>
    </row>
    <row r="136" spans="1:15" s="52" customFormat="1" ht="11.25">
      <c r="A136" s="64"/>
      <c r="B136" s="65"/>
      <c r="C136" s="65"/>
      <c r="D136" s="65"/>
      <c r="E136" s="55"/>
      <c r="F136" s="66"/>
      <c r="G136" s="67"/>
      <c r="H136" s="66"/>
      <c r="I136" s="66"/>
      <c r="J136" s="66"/>
      <c r="L136" s="68"/>
      <c r="M136" s="68"/>
      <c r="N136" s="54"/>
      <c r="O136" s="55"/>
    </row>
    <row r="137" spans="1:15" s="52" customFormat="1" ht="11.25">
      <c r="A137" s="64"/>
      <c r="B137" s="65"/>
      <c r="C137" s="65"/>
      <c r="D137" s="65"/>
      <c r="E137" s="55"/>
      <c r="F137" s="66"/>
      <c r="G137" s="67"/>
      <c r="H137" s="66"/>
      <c r="I137" s="66"/>
      <c r="J137" s="66"/>
      <c r="L137" s="68"/>
      <c r="M137" s="68"/>
      <c r="N137" s="54"/>
      <c r="O137" s="55"/>
    </row>
    <row r="138" spans="1:15" s="52" customFormat="1" ht="11.25">
      <c r="A138" s="64"/>
      <c r="B138" s="65"/>
      <c r="C138" s="65"/>
      <c r="D138" s="65"/>
      <c r="E138" s="55"/>
      <c r="F138" s="66"/>
      <c r="G138" s="67"/>
      <c r="H138" s="66"/>
      <c r="I138" s="66"/>
      <c r="J138" s="66"/>
      <c r="L138" s="68"/>
      <c r="M138" s="68"/>
      <c r="N138" s="54"/>
      <c r="O138" s="55"/>
    </row>
    <row r="139" spans="1:15" s="52" customFormat="1" ht="11.25">
      <c r="A139" s="64"/>
      <c r="B139" s="65"/>
      <c r="C139" s="65"/>
      <c r="D139" s="65"/>
      <c r="E139" s="55"/>
      <c r="F139" s="66"/>
      <c r="G139" s="67"/>
      <c r="H139" s="66"/>
      <c r="I139" s="66"/>
      <c r="J139" s="66"/>
      <c r="L139" s="68"/>
      <c r="M139" s="68"/>
      <c r="N139" s="54"/>
      <c r="O139" s="55"/>
    </row>
    <row r="140" spans="1:15" s="52" customFormat="1" ht="11.25">
      <c r="A140" s="64"/>
      <c r="B140" s="65"/>
      <c r="C140" s="65"/>
      <c r="D140" s="65"/>
      <c r="E140" s="55"/>
      <c r="F140" s="66"/>
      <c r="G140" s="67"/>
      <c r="H140" s="66"/>
      <c r="I140" s="66"/>
      <c r="J140" s="66"/>
      <c r="L140" s="68"/>
      <c r="M140" s="68"/>
      <c r="N140" s="54"/>
      <c r="O140" s="55"/>
    </row>
    <row r="141" spans="1:15" s="52" customFormat="1" ht="11.25">
      <c r="A141" s="64"/>
      <c r="B141" s="65"/>
      <c r="C141" s="65"/>
      <c r="D141" s="65"/>
      <c r="E141" s="55"/>
      <c r="F141" s="66"/>
      <c r="G141" s="67"/>
      <c r="H141" s="66"/>
      <c r="I141" s="66"/>
      <c r="J141" s="66"/>
      <c r="L141" s="68"/>
      <c r="M141" s="68"/>
      <c r="N141" s="54"/>
      <c r="O141" s="55"/>
    </row>
    <row r="142" spans="1:15" s="52" customFormat="1" ht="11.25">
      <c r="A142" s="64"/>
      <c r="B142" s="65"/>
      <c r="C142" s="65"/>
      <c r="D142" s="65"/>
      <c r="E142" s="55"/>
      <c r="F142" s="66"/>
      <c r="G142" s="67"/>
      <c r="H142" s="66"/>
      <c r="I142" s="66"/>
      <c r="J142" s="66"/>
      <c r="L142" s="68"/>
      <c r="M142" s="68"/>
      <c r="N142" s="54"/>
      <c r="O142" s="55"/>
    </row>
    <row r="143" spans="1:15" s="52" customFormat="1" ht="11.25">
      <c r="A143" s="64"/>
      <c r="B143" s="65"/>
      <c r="C143" s="65"/>
      <c r="D143" s="65"/>
      <c r="E143" s="55"/>
      <c r="F143" s="66"/>
      <c r="G143" s="67"/>
      <c r="H143" s="66"/>
      <c r="I143" s="66"/>
      <c r="J143" s="66"/>
      <c r="L143" s="68"/>
      <c r="M143" s="68"/>
      <c r="N143" s="54"/>
      <c r="O143" s="55"/>
    </row>
    <row r="144" spans="1:15" s="52" customFormat="1" ht="11.25">
      <c r="A144" s="64"/>
      <c r="B144" s="65"/>
      <c r="C144" s="65"/>
      <c r="D144" s="65"/>
      <c r="E144" s="55"/>
      <c r="F144" s="66"/>
      <c r="G144" s="67"/>
      <c r="H144" s="66"/>
      <c r="I144" s="66"/>
      <c r="J144" s="66"/>
      <c r="L144" s="68"/>
      <c r="M144" s="68"/>
      <c r="N144" s="54"/>
      <c r="O144" s="55"/>
    </row>
    <row r="145" spans="1:15" s="52" customFormat="1" ht="11.25">
      <c r="A145" s="64"/>
      <c r="B145" s="65"/>
      <c r="C145" s="65"/>
      <c r="D145" s="65"/>
      <c r="E145" s="55"/>
      <c r="F145" s="66"/>
      <c r="G145" s="67"/>
      <c r="H145" s="66"/>
      <c r="I145" s="66"/>
      <c r="J145" s="66"/>
      <c r="L145" s="68"/>
      <c r="M145" s="68"/>
      <c r="N145" s="54"/>
      <c r="O145" s="55"/>
    </row>
    <row r="146" spans="1:15" s="52" customFormat="1" ht="11.25">
      <c r="A146" s="64"/>
      <c r="B146" s="65"/>
      <c r="C146" s="65"/>
      <c r="D146" s="65"/>
      <c r="E146" s="55"/>
      <c r="F146" s="66"/>
      <c r="G146" s="67"/>
      <c r="H146" s="66"/>
      <c r="I146" s="66"/>
      <c r="J146" s="66"/>
      <c r="L146" s="68"/>
      <c r="M146" s="68"/>
      <c r="N146" s="54"/>
      <c r="O146" s="55"/>
    </row>
    <row r="147" spans="1:15" s="52" customFormat="1" ht="11.25">
      <c r="A147" s="64"/>
      <c r="B147" s="65"/>
      <c r="C147" s="65"/>
      <c r="D147" s="65"/>
      <c r="E147" s="55"/>
      <c r="F147" s="66"/>
      <c r="G147" s="67"/>
      <c r="H147" s="66"/>
      <c r="I147" s="66"/>
      <c r="J147" s="66"/>
      <c r="L147" s="68"/>
      <c r="M147" s="68"/>
      <c r="N147" s="54"/>
      <c r="O147" s="55"/>
    </row>
    <row r="148" spans="1:15" s="52" customFormat="1" ht="11.25">
      <c r="A148" s="64"/>
      <c r="B148" s="65"/>
      <c r="C148" s="65"/>
      <c r="D148" s="65"/>
      <c r="E148" s="55"/>
      <c r="F148" s="66"/>
      <c r="G148" s="67"/>
      <c r="H148" s="66"/>
      <c r="I148" s="66"/>
      <c r="J148" s="66"/>
      <c r="L148" s="68"/>
      <c r="M148" s="68"/>
      <c r="N148" s="54"/>
      <c r="O148" s="55"/>
    </row>
    <row r="149" spans="1:15" s="52" customFormat="1" ht="11.25">
      <c r="A149" s="64"/>
      <c r="B149" s="65"/>
      <c r="C149" s="65"/>
      <c r="D149" s="65"/>
      <c r="E149" s="55"/>
      <c r="F149" s="66"/>
      <c r="G149" s="67"/>
      <c r="H149" s="66"/>
      <c r="I149" s="66"/>
      <c r="J149" s="66"/>
      <c r="L149" s="68"/>
      <c r="M149" s="68"/>
      <c r="N149" s="54"/>
      <c r="O149" s="55"/>
    </row>
    <row r="150" spans="1:15" s="52" customFormat="1" ht="11.25">
      <c r="A150" s="64"/>
      <c r="B150" s="65"/>
      <c r="C150" s="65"/>
      <c r="D150" s="65"/>
      <c r="E150" s="55"/>
      <c r="F150" s="66"/>
      <c r="G150" s="67"/>
      <c r="H150" s="66"/>
      <c r="I150" s="66"/>
      <c r="J150" s="66"/>
      <c r="L150" s="68"/>
      <c r="M150" s="68"/>
      <c r="N150" s="54"/>
      <c r="O150" s="55"/>
    </row>
    <row r="151" spans="1:15" s="52" customFormat="1" ht="11.25">
      <c r="A151" s="64"/>
      <c r="B151" s="65"/>
      <c r="C151" s="65"/>
      <c r="D151" s="65"/>
      <c r="E151" s="55"/>
      <c r="F151" s="66"/>
      <c r="G151" s="67"/>
      <c r="H151" s="66"/>
      <c r="I151" s="66"/>
      <c r="J151" s="66"/>
      <c r="L151" s="68"/>
      <c r="M151" s="68"/>
      <c r="N151" s="54"/>
      <c r="O151" s="55"/>
    </row>
    <row r="152" spans="1:15" s="52" customFormat="1" ht="11.25">
      <c r="A152" s="64"/>
      <c r="B152" s="65"/>
      <c r="C152" s="65"/>
      <c r="D152" s="65"/>
      <c r="E152" s="55"/>
      <c r="F152" s="66"/>
      <c r="G152" s="67"/>
      <c r="H152" s="66"/>
      <c r="I152" s="66"/>
      <c r="J152" s="66"/>
      <c r="L152" s="68"/>
      <c r="M152" s="68"/>
      <c r="N152" s="54"/>
      <c r="O152" s="55"/>
    </row>
    <row r="153" spans="1:15" s="52" customFormat="1" ht="11.25">
      <c r="A153" s="64"/>
      <c r="B153" s="65"/>
      <c r="C153" s="65"/>
      <c r="D153" s="65"/>
      <c r="E153" s="55"/>
      <c r="F153" s="66"/>
      <c r="G153" s="67"/>
      <c r="H153" s="66"/>
      <c r="I153" s="66"/>
      <c r="J153" s="66"/>
      <c r="L153" s="68"/>
      <c r="M153" s="68"/>
      <c r="N153" s="54"/>
      <c r="O153" s="55"/>
    </row>
    <row r="154" spans="1:15" s="52" customFormat="1" ht="11.25">
      <c r="A154" s="64"/>
      <c r="B154" s="65"/>
      <c r="C154" s="65"/>
      <c r="D154" s="65"/>
      <c r="E154" s="55"/>
      <c r="F154" s="66"/>
      <c r="G154" s="67"/>
      <c r="H154" s="66"/>
      <c r="I154" s="66"/>
      <c r="J154" s="66"/>
      <c r="L154" s="68"/>
      <c r="M154" s="68"/>
      <c r="N154" s="54"/>
      <c r="O154" s="55"/>
    </row>
    <row r="155" spans="1:15" s="52" customFormat="1" ht="11.25">
      <c r="A155" s="64"/>
      <c r="B155" s="65"/>
      <c r="C155" s="65"/>
      <c r="D155" s="65"/>
      <c r="E155" s="55"/>
      <c r="F155" s="66"/>
      <c r="G155" s="67"/>
      <c r="H155" s="66"/>
      <c r="I155" s="66"/>
      <c r="J155" s="66"/>
      <c r="L155" s="68"/>
      <c r="M155" s="68"/>
      <c r="N155" s="54"/>
      <c r="O155" s="55"/>
    </row>
    <row r="156" spans="1:15" s="52" customFormat="1" ht="11.25">
      <c r="A156" s="64"/>
      <c r="B156" s="65"/>
      <c r="C156" s="65"/>
      <c r="D156" s="65"/>
      <c r="E156" s="55"/>
      <c r="F156" s="66"/>
      <c r="G156" s="67"/>
      <c r="H156" s="66"/>
      <c r="I156" s="66"/>
      <c r="J156" s="66"/>
      <c r="L156" s="68"/>
      <c r="M156" s="68"/>
      <c r="N156" s="54"/>
      <c r="O156" s="55"/>
    </row>
    <row r="157" spans="1:15" s="52" customFormat="1" ht="11.25">
      <c r="A157" s="64"/>
      <c r="B157" s="65"/>
      <c r="C157" s="65"/>
      <c r="D157" s="65"/>
      <c r="E157" s="55"/>
      <c r="F157" s="66"/>
      <c r="G157" s="67"/>
      <c r="H157" s="66"/>
      <c r="I157" s="66"/>
      <c r="J157" s="66"/>
      <c r="L157" s="68"/>
      <c r="M157" s="68"/>
      <c r="N157" s="54"/>
      <c r="O157" s="55"/>
    </row>
    <row r="158" spans="1:15" s="52" customFormat="1" ht="11.25">
      <c r="A158" s="64"/>
      <c r="B158" s="65"/>
      <c r="C158" s="65"/>
      <c r="D158" s="65"/>
      <c r="E158" s="55"/>
      <c r="F158" s="66"/>
      <c r="G158" s="67"/>
      <c r="H158" s="66"/>
      <c r="I158" s="66"/>
      <c r="J158" s="66"/>
      <c r="L158" s="68"/>
      <c r="M158" s="68"/>
      <c r="N158" s="54"/>
      <c r="O158" s="55"/>
    </row>
    <row r="159" spans="1:15" s="52" customFormat="1" ht="11.25">
      <c r="A159" s="64"/>
      <c r="B159" s="65"/>
      <c r="C159" s="65"/>
      <c r="D159" s="65"/>
      <c r="E159" s="55"/>
      <c r="F159" s="66"/>
      <c r="G159" s="67"/>
      <c r="H159" s="66"/>
      <c r="I159" s="66"/>
      <c r="J159" s="66"/>
      <c r="L159" s="68"/>
      <c r="M159" s="68"/>
      <c r="N159" s="54"/>
      <c r="O159" s="55"/>
    </row>
    <row r="160" spans="1:15" s="103" customFormat="1" ht="21" thickBot="1">
      <c r="A160" s="39" t="s">
        <v>790</v>
      </c>
      <c r="B160" s="39"/>
      <c r="F160" s="41"/>
      <c r="H160" s="41"/>
      <c r="I160" s="41"/>
      <c r="J160" s="41"/>
      <c r="L160" s="42"/>
      <c r="M160" s="42"/>
      <c r="N160" s="43"/>
      <c r="O160" s="44"/>
    </row>
    <row r="161" spans="1:15" s="4" customFormat="1" ht="33.75">
      <c r="A161" s="5"/>
      <c r="B161" s="11" t="s">
        <v>123</v>
      </c>
      <c r="C161" s="10" t="s">
        <v>304</v>
      </c>
      <c r="D161" s="10" t="s">
        <v>1004</v>
      </c>
      <c r="E161" s="10" t="s">
        <v>1013</v>
      </c>
      <c r="F161" s="10" t="s">
        <v>1005</v>
      </c>
      <c r="G161" s="10" t="s">
        <v>1014</v>
      </c>
      <c r="H161" s="10" t="s">
        <v>1016</v>
      </c>
      <c r="I161" s="10" t="s">
        <v>1003</v>
      </c>
      <c r="J161" s="10" t="s">
        <v>1018</v>
      </c>
      <c r="K161" s="10" t="s">
        <v>1007</v>
      </c>
      <c r="L161" s="10" t="s">
        <v>1019</v>
      </c>
      <c r="M161" s="10" t="s">
        <v>1020</v>
      </c>
      <c r="N161" s="32" t="s">
        <v>1051</v>
      </c>
      <c r="O161" s="33" t="s">
        <v>1052</v>
      </c>
    </row>
    <row r="162" spans="1:16" s="101" customFormat="1" ht="22.5">
      <c r="A162" s="6" t="s">
        <v>816</v>
      </c>
      <c r="B162" s="63" t="s">
        <v>306</v>
      </c>
      <c r="C162" s="13" t="s">
        <v>1140</v>
      </c>
      <c r="D162" s="13" t="s">
        <v>817</v>
      </c>
      <c r="E162" s="13" t="s">
        <v>1012</v>
      </c>
      <c r="F162" s="3" t="s">
        <v>1008</v>
      </c>
      <c r="G162" s="13" t="s">
        <v>818</v>
      </c>
      <c r="H162" s="36">
        <v>3</v>
      </c>
      <c r="I162" s="15">
        <v>1417266</v>
      </c>
      <c r="J162" s="15">
        <v>165000</v>
      </c>
      <c r="K162" s="26">
        <f aca="true" t="shared" si="7" ref="K162:K177">J162/I162</f>
        <v>0.11642133516220667</v>
      </c>
      <c r="L162" s="151">
        <v>41723</v>
      </c>
      <c r="M162" s="151">
        <v>41753</v>
      </c>
      <c r="N162" s="18">
        <f>6678582.57/1417266</f>
        <v>4.712299998729949</v>
      </c>
      <c r="O162" s="16">
        <f aca="true" t="shared" si="8" ref="O162:O177">K162/N162</f>
        <v>0.02470584113778502</v>
      </c>
      <c r="P162" s="57"/>
    </row>
    <row r="163" spans="1:15" s="101" customFormat="1" ht="22.5">
      <c r="A163" s="6" t="s">
        <v>223</v>
      </c>
      <c r="B163" s="63" t="s">
        <v>306</v>
      </c>
      <c r="C163" s="13" t="s">
        <v>224</v>
      </c>
      <c r="D163" s="13" t="s">
        <v>225</v>
      </c>
      <c r="E163" s="13" t="s">
        <v>1012</v>
      </c>
      <c r="F163" s="3" t="s">
        <v>1008</v>
      </c>
      <c r="G163" s="13" t="s">
        <v>226</v>
      </c>
      <c r="H163" s="36">
        <v>3</v>
      </c>
      <c r="I163" s="15">
        <v>702000</v>
      </c>
      <c r="J163" s="15">
        <v>112320</v>
      </c>
      <c r="K163" s="26">
        <f t="shared" si="7"/>
        <v>0.16</v>
      </c>
      <c r="L163" s="151">
        <v>41830</v>
      </c>
      <c r="M163" s="151">
        <v>41862</v>
      </c>
      <c r="N163" s="18">
        <f>3825900/702000</f>
        <v>5.45</v>
      </c>
      <c r="O163" s="137">
        <f t="shared" si="8"/>
        <v>0.029357798165137613</v>
      </c>
    </row>
    <row r="164" spans="1:15" s="101" customFormat="1" ht="22.5">
      <c r="A164" s="6" t="s">
        <v>61</v>
      </c>
      <c r="B164" s="63" t="s">
        <v>306</v>
      </c>
      <c r="C164" s="13" t="s">
        <v>8</v>
      </c>
      <c r="D164" s="13" t="s">
        <v>59</v>
      </c>
      <c r="E164" s="13" t="s">
        <v>1012</v>
      </c>
      <c r="F164" s="3" t="s">
        <v>1006</v>
      </c>
      <c r="G164" s="13" t="s">
        <v>62</v>
      </c>
      <c r="H164" s="3">
        <v>3</v>
      </c>
      <c r="I164" s="15">
        <v>320000</v>
      </c>
      <c r="J164" s="15">
        <v>91900</v>
      </c>
      <c r="K164" s="26">
        <f t="shared" si="7"/>
        <v>0.2871875</v>
      </c>
      <c r="L164" s="151">
        <v>41969</v>
      </c>
      <c r="M164" s="151">
        <v>42002</v>
      </c>
      <c r="N164" s="18">
        <f>2924800/320000</f>
        <v>9.14</v>
      </c>
      <c r="O164" s="16">
        <f t="shared" si="8"/>
        <v>0.031420951859956234</v>
      </c>
    </row>
    <row r="165" spans="1:15" s="101" customFormat="1" ht="22.5">
      <c r="A165" s="6" t="s">
        <v>466</v>
      </c>
      <c r="B165" s="63" t="s">
        <v>306</v>
      </c>
      <c r="C165" s="13" t="s">
        <v>463</v>
      </c>
      <c r="D165" s="13" t="s">
        <v>464</v>
      </c>
      <c r="E165" s="13" t="s">
        <v>1012</v>
      </c>
      <c r="F165" s="3" t="s">
        <v>1107</v>
      </c>
      <c r="G165" s="13" t="s">
        <v>467</v>
      </c>
      <c r="H165" s="3">
        <v>5</v>
      </c>
      <c r="I165" s="15">
        <v>112440</v>
      </c>
      <c r="J165" s="15">
        <v>6700</v>
      </c>
      <c r="K165" s="26">
        <f t="shared" si="7"/>
        <v>0.05958733546780505</v>
      </c>
      <c r="L165" s="151">
        <v>41915</v>
      </c>
      <c r="M165" s="151">
        <v>41949</v>
      </c>
      <c r="N165" s="18">
        <f>426799.75/112440</f>
        <v>3.7957999822127357</v>
      </c>
      <c r="O165" s="16">
        <f t="shared" si="8"/>
        <v>0.015698228501773957</v>
      </c>
    </row>
    <row r="166" spans="1:15" s="101" customFormat="1" ht="22.5">
      <c r="A166" s="6" t="s">
        <v>462</v>
      </c>
      <c r="B166" s="63" t="s">
        <v>306</v>
      </c>
      <c r="C166" s="13" t="s">
        <v>463</v>
      </c>
      <c r="D166" s="13" t="s">
        <v>464</v>
      </c>
      <c r="E166" s="13" t="s">
        <v>1012</v>
      </c>
      <c r="F166" s="3" t="s">
        <v>1107</v>
      </c>
      <c r="G166" s="13" t="s">
        <v>465</v>
      </c>
      <c r="H166" s="3">
        <v>5</v>
      </c>
      <c r="I166" s="15">
        <v>117365</v>
      </c>
      <c r="J166" s="15">
        <v>7000</v>
      </c>
      <c r="K166" s="26">
        <f t="shared" si="7"/>
        <v>0.05964299407830273</v>
      </c>
      <c r="L166" s="151">
        <v>41915</v>
      </c>
      <c r="M166" s="151">
        <v>41949</v>
      </c>
      <c r="N166" s="18">
        <f>445494.07/117365</f>
        <v>3.795800025561283</v>
      </c>
      <c r="O166" s="16">
        <f t="shared" si="8"/>
        <v>0.015712891531867078</v>
      </c>
    </row>
    <row r="167" spans="1:16" s="101" customFormat="1" ht="33.75">
      <c r="A167" s="6" t="s">
        <v>7</v>
      </c>
      <c r="B167" s="63" t="s">
        <v>306</v>
      </c>
      <c r="C167" s="13" t="s">
        <v>8</v>
      </c>
      <c r="D167" s="13" t="s">
        <v>9</v>
      </c>
      <c r="E167" s="13" t="s">
        <v>1012</v>
      </c>
      <c r="F167" s="3" t="s">
        <v>1172</v>
      </c>
      <c r="G167" s="13" t="s">
        <v>10</v>
      </c>
      <c r="H167" s="3">
        <v>5</v>
      </c>
      <c r="I167" s="15">
        <v>660000</v>
      </c>
      <c r="J167" s="15">
        <v>70000</v>
      </c>
      <c r="K167" s="26">
        <f t="shared" si="7"/>
        <v>0.10606060606060606</v>
      </c>
      <c r="L167" s="151">
        <v>41971</v>
      </c>
      <c r="M167" s="151">
        <v>42019</v>
      </c>
      <c r="N167" s="18">
        <f>3709200/660000</f>
        <v>5.62</v>
      </c>
      <c r="O167" s="16">
        <f t="shared" si="8"/>
        <v>0.01887199396096193</v>
      </c>
      <c r="P167" s="57"/>
    </row>
    <row r="168" spans="1:16" s="101" customFormat="1" ht="33.75">
      <c r="A168" s="6" t="s">
        <v>16</v>
      </c>
      <c r="B168" s="63" t="s">
        <v>306</v>
      </c>
      <c r="C168" s="13" t="s">
        <v>8</v>
      </c>
      <c r="D168" s="13" t="s">
        <v>14</v>
      </c>
      <c r="E168" s="13" t="s">
        <v>1012</v>
      </c>
      <c r="F168" s="3" t="s">
        <v>1172</v>
      </c>
      <c r="G168" s="13" t="s">
        <v>17</v>
      </c>
      <c r="H168" s="3">
        <v>5</v>
      </c>
      <c r="I168" s="15">
        <v>2910000</v>
      </c>
      <c r="J168" s="15">
        <v>310000</v>
      </c>
      <c r="K168" s="26">
        <f t="shared" si="7"/>
        <v>0.10652920962199312</v>
      </c>
      <c r="L168" s="151">
        <v>41971</v>
      </c>
      <c r="M168" s="151">
        <v>42019</v>
      </c>
      <c r="N168" s="18">
        <f>16354200/2910000</f>
        <v>5.62</v>
      </c>
      <c r="O168" s="16">
        <f t="shared" si="8"/>
        <v>0.018955375377578847</v>
      </c>
      <c r="P168" s="57"/>
    </row>
    <row r="169" spans="1:16" s="101" customFormat="1" ht="33.75">
      <c r="A169" s="6" t="s">
        <v>20</v>
      </c>
      <c r="B169" s="63" t="s">
        <v>306</v>
      </c>
      <c r="C169" s="13" t="s">
        <v>8</v>
      </c>
      <c r="D169" s="13" t="s">
        <v>21</v>
      </c>
      <c r="E169" s="13" t="s">
        <v>1012</v>
      </c>
      <c r="F169" s="3" t="s">
        <v>1008</v>
      </c>
      <c r="G169" s="13" t="s">
        <v>22</v>
      </c>
      <c r="H169" s="3">
        <v>5</v>
      </c>
      <c r="I169" s="15">
        <v>2240000</v>
      </c>
      <c r="J169" s="15">
        <v>239000</v>
      </c>
      <c r="K169" s="26">
        <f t="shared" si="7"/>
        <v>0.10669642857142857</v>
      </c>
      <c r="L169" s="151">
        <v>41971</v>
      </c>
      <c r="M169" s="151">
        <v>42019</v>
      </c>
      <c r="N169" s="18">
        <f>12588800/2240000</f>
        <v>5.62</v>
      </c>
      <c r="O169" s="16">
        <f t="shared" si="8"/>
        <v>0.018985129639044227</v>
      </c>
      <c r="P169" s="57"/>
    </row>
    <row r="170" spans="1:16" s="101" customFormat="1" ht="33.75">
      <c r="A170" s="6" t="s">
        <v>11</v>
      </c>
      <c r="B170" s="13" t="s">
        <v>306</v>
      </c>
      <c r="C170" s="13" t="s">
        <v>8</v>
      </c>
      <c r="D170" s="13" t="s">
        <v>9</v>
      </c>
      <c r="E170" s="13" t="s">
        <v>1012</v>
      </c>
      <c r="F170" s="3" t="s">
        <v>1172</v>
      </c>
      <c r="G170" s="13" t="s">
        <v>12</v>
      </c>
      <c r="H170" s="3">
        <v>5</v>
      </c>
      <c r="I170" s="15">
        <v>2500000</v>
      </c>
      <c r="J170" s="15">
        <v>267000</v>
      </c>
      <c r="K170" s="26">
        <f t="shared" si="7"/>
        <v>0.1068</v>
      </c>
      <c r="L170" s="151">
        <v>41971</v>
      </c>
      <c r="M170" s="151">
        <v>42019</v>
      </c>
      <c r="N170" s="18">
        <f>14050000/2500000</f>
        <v>5.62</v>
      </c>
      <c r="O170" s="16">
        <f t="shared" si="8"/>
        <v>0.01900355871886121</v>
      </c>
      <c r="P170" s="57"/>
    </row>
    <row r="171" spans="1:16" s="101" customFormat="1" ht="33.75">
      <c r="A171" s="6" t="s">
        <v>18</v>
      </c>
      <c r="B171" s="13" t="s">
        <v>306</v>
      </c>
      <c r="C171" s="13" t="s">
        <v>8</v>
      </c>
      <c r="D171" s="13" t="s">
        <v>9</v>
      </c>
      <c r="E171" s="13" t="s">
        <v>1012</v>
      </c>
      <c r="F171" s="3" t="s">
        <v>1172</v>
      </c>
      <c r="G171" s="13" t="s">
        <v>19</v>
      </c>
      <c r="H171" s="3">
        <v>5</v>
      </c>
      <c r="I171" s="15">
        <v>1460000</v>
      </c>
      <c r="J171" s="15">
        <v>156000</v>
      </c>
      <c r="K171" s="26">
        <f t="shared" si="7"/>
        <v>0.10684931506849316</v>
      </c>
      <c r="L171" s="151">
        <v>41971</v>
      </c>
      <c r="M171" s="151">
        <v>42019</v>
      </c>
      <c r="N171" s="18">
        <f>8205200/1460000</f>
        <v>5.62</v>
      </c>
      <c r="O171" s="16">
        <f t="shared" si="8"/>
        <v>0.01901233364208063</v>
      </c>
      <c r="P171" s="57"/>
    </row>
    <row r="172" spans="1:15" s="101" customFormat="1" ht="33.75">
      <c r="A172" s="6" t="s">
        <v>13</v>
      </c>
      <c r="B172" s="13" t="s">
        <v>306</v>
      </c>
      <c r="C172" s="13" t="s">
        <v>8</v>
      </c>
      <c r="D172" s="13" t="s">
        <v>14</v>
      </c>
      <c r="E172" s="13" t="s">
        <v>1012</v>
      </c>
      <c r="F172" s="3" t="s">
        <v>1172</v>
      </c>
      <c r="G172" s="13" t="s">
        <v>15</v>
      </c>
      <c r="H172" s="3">
        <v>5</v>
      </c>
      <c r="I172" s="15">
        <v>1290000</v>
      </c>
      <c r="J172" s="15">
        <v>138000</v>
      </c>
      <c r="K172" s="26">
        <f t="shared" si="7"/>
        <v>0.10697674418604651</v>
      </c>
      <c r="L172" s="151">
        <v>41971</v>
      </c>
      <c r="M172" s="151">
        <v>42019</v>
      </c>
      <c r="N172" s="18">
        <f>7249800/1290000</f>
        <v>5.62</v>
      </c>
      <c r="O172" s="16">
        <f t="shared" si="8"/>
        <v>0.019035007862285857</v>
      </c>
    </row>
    <row r="173" spans="1:16" s="101" customFormat="1" ht="45">
      <c r="A173" s="6" t="s">
        <v>923</v>
      </c>
      <c r="B173" s="13" t="s">
        <v>306</v>
      </c>
      <c r="C173" s="13" t="s">
        <v>168</v>
      </c>
      <c r="D173" s="13" t="s">
        <v>924</v>
      </c>
      <c r="E173" s="13" t="s">
        <v>1012</v>
      </c>
      <c r="F173" s="3" t="s">
        <v>1172</v>
      </c>
      <c r="G173" s="13" t="s">
        <v>925</v>
      </c>
      <c r="H173" s="36">
        <v>5</v>
      </c>
      <c r="I173" s="15">
        <v>69500</v>
      </c>
      <c r="J173" s="15">
        <v>10945</v>
      </c>
      <c r="K173" s="26">
        <f t="shared" si="7"/>
        <v>0.15748201438848922</v>
      </c>
      <c r="L173" s="151">
        <v>41726</v>
      </c>
      <c r="M173" s="151">
        <v>41758</v>
      </c>
      <c r="N173" s="18">
        <f>494145/69500</f>
        <v>7.11</v>
      </c>
      <c r="O173" s="16">
        <f t="shared" si="8"/>
        <v>0.022149369112305094</v>
      </c>
      <c r="P173" s="57"/>
    </row>
    <row r="174" spans="1:16" s="101" customFormat="1" ht="22.5">
      <c r="A174" s="6" t="s">
        <v>595</v>
      </c>
      <c r="B174" s="63" t="s">
        <v>306</v>
      </c>
      <c r="C174" s="13" t="s">
        <v>168</v>
      </c>
      <c r="D174" s="13" t="s">
        <v>589</v>
      </c>
      <c r="E174" s="13" t="s">
        <v>1012</v>
      </c>
      <c r="F174" s="3" t="s">
        <v>1107</v>
      </c>
      <c r="G174" s="13" t="s">
        <v>596</v>
      </c>
      <c r="H174" s="3">
        <v>5</v>
      </c>
      <c r="I174" s="15">
        <v>549900</v>
      </c>
      <c r="J174" s="15">
        <v>157707</v>
      </c>
      <c r="K174" s="26">
        <f t="shared" si="7"/>
        <v>0.2867921440261866</v>
      </c>
      <c r="L174" s="151">
        <v>41964</v>
      </c>
      <c r="M174" s="151">
        <v>41996</v>
      </c>
      <c r="N174" s="18">
        <f>4481685/549900</f>
        <v>8.15</v>
      </c>
      <c r="O174" s="16">
        <f t="shared" si="8"/>
        <v>0.03518922012591246</v>
      </c>
      <c r="P174" s="57"/>
    </row>
    <row r="175" spans="1:16" s="101" customFormat="1" ht="22.5">
      <c r="A175" s="6" t="s">
        <v>593</v>
      </c>
      <c r="B175" s="63" t="s">
        <v>306</v>
      </c>
      <c r="C175" s="13" t="s">
        <v>168</v>
      </c>
      <c r="D175" s="13" t="s">
        <v>589</v>
      </c>
      <c r="E175" s="13" t="s">
        <v>1012</v>
      </c>
      <c r="F175" s="3" t="s">
        <v>1107</v>
      </c>
      <c r="G175" s="13" t="s">
        <v>594</v>
      </c>
      <c r="H175" s="3">
        <v>5</v>
      </c>
      <c r="I175" s="15">
        <v>244108</v>
      </c>
      <c r="J175" s="15">
        <v>70008</v>
      </c>
      <c r="K175" s="26">
        <f t="shared" si="7"/>
        <v>0.2867910924672686</v>
      </c>
      <c r="L175" s="151">
        <v>41964</v>
      </c>
      <c r="M175" s="151">
        <v>41996</v>
      </c>
      <c r="N175" s="18">
        <f>1777106.24/244108</f>
        <v>7.28</v>
      </c>
      <c r="O175" s="16">
        <f t="shared" si="8"/>
        <v>0.03939438083341601</v>
      </c>
      <c r="P175" s="57"/>
    </row>
    <row r="176" spans="1:16" s="101" customFormat="1" ht="22.5">
      <c r="A176" s="6" t="s">
        <v>591</v>
      </c>
      <c r="B176" s="63" t="s">
        <v>306</v>
      </c>
      <c r="C176" s="13" t="s">
        <v>168</v>
      </c>
      <c r="D176" s="13" t="s">
        <v>589</v>
      </c>
      <c r="E176" s="13" t="s">
        <v>1012</v>
      </c>
      <c r="F176" s="3" t="s">
        <v>1107</v>
      </c>
      <c r="G176" s="13" t="s">
        <v>592</v>
      </c>
      <c r="H176" s="3">
        <v>5</v>
      </c>
      <c r="I176" s="15">
        <v>302334</v>
      </c>
      <c r="J176" s="15">
        <v>86707</v>
      </c>
      <c r="K176" s="26">
        <f t="shared" si="7"/>
        <v>0.2867920908663928</v>
      </c>
      <c r="L176" s="151">
        <v>41964</v>
      </c>
      <c r="M176" s="151">
        <v>41996</v>
      </c>
      <c r="N176" s="18">
        <f>2200991.52/302334</f>
        <v>7.28</v>
      </c>
      <c r="O176" s="16">
        <f t="shared" si="8"/>
        <v>0.03939451797615286</v>
      </c>
      <c r="P176" s="57"/>
    </row>
    <row r="177" spans="1:16" s="101" customFormat="1" ht="22.5">
      <c r="A177" s="6" t="s">
        <v>588</v>
      </c>
      <c r="B177" s="63" t="s">
        <v>306</v>
      </c>
      <c r="C177" s="13" t="s">
        <v>168</v>
      </c>
      <c r="D177" s="13" t="s">
        <v>589</v>
      </c>
      <c r="E177" s="13" t="s">
        <v>1012</v>
      </c>
      <c r="F177" s="3" t="s">
        <v>1117</v>
      </c>
      <c r="G177" s="13" t="s">
        <v>590</v>
      </c>
      <c r="H177" s="3">
        <v>5</v>
      </c>
      <c r="I177" s="15">
        <v>394358</v>
      </c>
      <c r="J177" s="15">
        <v>113099</v>
      </c>
      <c r="K177" s="26">
        <f t="shared" si="7"/>
        <v>0.286792711191354</v>
      </c>
      <c r="L177" s="151">
        <v>41964</v>
      </c>
      <c r="M177" s="151">
        <v>41996</v>
      </c>
      <c r="N177" s="18">
        <f>2870926.24/394358</f>
        <v>7.28</v>
      </c>
      <c r="O177" s="16">
        <f t="shared" si="8"/>
        <v>0.03939460318562555</v>
      </c>
      <c r="P177" s="57"/>
    </row>
    <row r="178" spans="1:15" s="101" customFormat="1" ht="22.5">
      <c r="A178" s="6" t="s">
        <v>421</v>
      </c>
      <c r="B178" s="63" t="s">
        <v>306</v>
      </c>
      <c r="C178" s="13" t="s">
        <v>1033</v>
      </c>
      <c r="D178" s="13" t="s">
        <v>422</v>
      </c>
      <c r="E178" s="13" t="s">
        <v>1012</v>
      </c>
      <c r="F178" s="3" t="s">
        <v>1006</v>
      </c>
      <c r="G178" s="13" t="s">
        <v>423</v>
      </c>
      <c r="H178" s="36">
        <v>7</v>
      </c>
      <c r="I178" s="15">
        <v>1355700</v>
      </c>
      <c r="J178" s="15">
        <v>38616</v>
      </c>
      <c r="K178" s="26">
        <f aca="true" t="shared" si="9" ref="K178:K215">J178/I178</f>
        <v>0.028484177915468024</v>
      </c>
      <c r="L178" s="151">
        <v>41835</v>
      </c>
      <c r="M178" s="151">
        <v>41871</v>
      </c>
      <c r="N178" s="18">
        <f>4975419/1355700</f>
        <v>3.67</v>
      </c>
      <c r="O178" s="16">
        <f aca="true" t="shared" si="10" ref="O178:O215">K178/N178</f>
        <v>0.007761356380236519</v>
      </c>
    </row>
    <row r="179" spans="1:15" s="101" customFormat="1" ht="22.5">
      <c r="A179" s="6" t="s">
        <v>418</v>
      </c>
      <c r="B179" s="63" t="s">
        <v>306</v>
      </c>
      <c r="C179" s="13" t="s">
        <v>1033</v>
      </c>
      <c r="D179" s="13" t="s">
        <v>419</v>
      </c>
      <c r="E179" s="13" t="s">
        <v>1012</v>
      </c>
      <c r="F179" s="3" t="s">
        <v>1006</v>
      </c>
      <c r="G179" s="13" t="s">
        <v>420</v>
      </c>
      <c r="H179" s="36">
        <v>7</v>
      </c>
      <c r="I179" s="15">
        <v>721000</v>
      </c>
      <c r="J179" s="15">
        <v>20537</v>
      </c>
      <c r="K179" s="26">
        <f t="shared" si="9"/>
        <v>0.028484049930651872</v>
      </c>
      <c r="L179" s="151">
        <v>41835</v>
      </c>
      <c r="M179" s="151">
        <v>41871</v>
      </c>
      <c r="N179" s="18">
        <f>2631650/721000</f>
        <v>3.65</v>
      </c>
      <c r="O179" s="16">
        <f t="shared" si="10"/>
        <v>0.007803849296069006</v>
      </c>
    </row>
    <row r="180" spans="1:15" s="101" customFormat="1" ht="22.5">
      <c r="A180" s="6" t="s">
        <v>442</v>
      </c>
      <c r="B180" s="63" t="s">
        <v>306</v>
      </c>
      <c r="C180" s="13" t="s">
        <v>1033</v>
      </c>
      <c r="D180" s="13" t="s">
        <v>438</v>
      </c>
      <c r="E180" s="13" t="s">
        <v>1012</v>
      </c>
      <c r="F180" s="3" t="s">
        <v>1008</v>
      </c>
      <c r="G180" s="13" t="s">
        <v>443</v>
      </c>
      <c r="H180" s="3">
        <v>7</v>
      </c>
      <c r="I180" s="15">
        <v>1343974</v>
      </c>
      <c r="J180" s="15">
        <v>38314</v>
      </c>
      <c r="K180" s="26">
        <f t="shared" si="9"/>
        <v>0.028507991970082754</v>
      </c>
      <c r="L180" s="151">
        <v>41920</v>
      </c>
      <c r="M180" s="151">
        <v>41955</v>
      </c>
      <c r="N180" s="18">
        <f>4609830.82/1343974</f>
        <v>3.43</v>
      </c>
      <c r="O180" s="16">
        <f t="shared" si="10"/>
        <v>0.008311367921306925</v>
      </c>
    </row>
    <row r="181" spans="1:15" s="101" customFormat="1" ht="22.5">
      <c r="A181" s="6" t="s">
        <v>446</v>
      </c>
      <c r="B181" s="63" t="s">
        <v>306</v>
      </c>
      <c r="C181" s="13" t="s">
        <v>1033</v>
      </c>
      <c r="D181" s="13" t="s">
        <v>438</v>
      </c>
      <c r="E181" s="13" t="s">
        <v>1012</v>
      </c>
      <c r="F181" s="3" t="s">
        <v>1008</v>
      </c>
      <c r="G181" s="13" t="s">
        <v>447</v>
      </c>
      <c r="H181" s="3">
        <v>7</v>
      </c>
      <c r="I181" s="15">
        <v>151538</v>
      </c>
      <c r="J181" s="15">
        <v>4376</v>
      </c>
      <c r="K181" s="26">
        <f t="shared" si="9"/>
        <v>0.02887724531140704</v>
      </c>
      <c r="L181" s="151">
        <v>41920</v>
      </c>
      <c r="M181" s="151">
        <v>41955</v>
      </c>
      <c r="N181" s="18">
        <f>519775.34/151538</f>
        <v>3.43</v>
      </c>
      <c r="O181" s="16">
        <f t="shared" si="10"/>
        <v>0.008419021956678437</v>
      </c>
    </row>
    <row r="182" spans="1:15" s="101" customFormat="1" ht="22.5">
      <c r="A182" s="6" t="s">
        <v>201</v>
      </c>
      <c r="B182" s="63" t="s">
        <v>306</v>
      </c>
      <c r="C182" s="13" t="s">
        <v>1033</v>
      </c>
      <c r="D182" s="13" t="s">
        <v>197</v>
      </c>
      <c r="E182" s="13" t="s">
        <v>1012</v>
      </c>
      <c r="F182" s="3" t="s">
        <v>1008</v>
      </c>
      <c r="G182" s="13" t="s">
        <v>202</v>
      </c>
      <c r="H182" s="36">
        <v>7</v>
      </c>
      <c r="I182" s="15">
        <v>222515</v>
      </c>
      <c r="J182" s="12">
        <v>6426</v>
      </c>
      <c r="K182" s="26">
        <f t="shared" si="9"/>
        <v>0.02887895198076534</v>
      </c>
      <c r="L182" s="151">
        <v>41829</v>
      </c>
      <c r="M182" s="151">
        <v>41863</v>
      </c>
      <c r="N182" s="18">
        <f>763226.45/222515</f>
        <v>3.4299999999999997</v>
      </c>
      <c r="O182" s="16">
        <f t="shared" si="10"/>
        <v>0.008419519527919925</v>
      </c>
    </row>
    <row r="183" spans="1:16" s="101" customFormat="1" ht="22.5">
      <c r="A183" s="6" t="s">
        <v>440</v>
      </c>
      <c r="B183" s="63" t="s">
        <v>306</v>
      </c>
      <c r="C183" s="13" t="s">
        <v>1033</v>
      </c>
      <c r="D183" s="13" t="s">
        <v>438</v>
      </c>
      <c r="E183" s="13" t="s">
        <v>1012</v>
      </c>
      <c r="F183" s="3" t="s">
        <v>1008</v>
      </c>
      <c r="G183" s="13" t="s">
        <v>441</v>
      </c>
      <c r="H183" s="3">
        <v>7</v>
      </c>
      <c r="I183" s="15">
        <v>368738</v>
      </c>
      <c r="J183" s="15">
        <v>10649</v>
      </c>
      <c r="K183" s="26">
        <f t="shared" si="9"/>
        <v>0.028879583877983825</v>
      </c>
      <c r="L183" s="151">
        <v>41920</v>
      </c>
      <c r="M183" s="151">
        <v>41955</v>
      </c>
      <c r="N183" s="18">
        <f>1264771.34/368738</f>
        <v>3.43</v>
      </c>
      <c r="O183" s="16">
        <f t="shared" si="10"/>
        <v>0.008419703754514235</v>
      </c>
      <c r="P183" s="57"/>
    </row>
    <row r="184" spans="1:15" s="101" customFormat="1" ht="22.5">
      <c r="A184" s="6" t="s">
        <v>211</v>
      </c>
      <c r="B184" s="63" t="s">
        <v>306</v>
      </c>
      <c r="C184" s="13" t="s">
        <v>1033</v>
      </c>
      <c r="D184" s="13" t="s">
        <v>197</v>
      </c>
      <c r="E184" s="13" t="s">
        <v>1012</v>
      </c>
      <c r="F184" s="3" t="s">
        <v>1008</v>
      </c>
      <c r="G184" s="13" t="s">
        <v>212</v>
      </c>
      <c r="H184" s="36">
        <v>7</v>
      </c>
      <c r="I184" s="15">
        <v>730757</v>
      </c>
      <c r="J184" s="12">
        <v>21104</v>
      </c>
      <c r="K184" s="26">
        <f t="shared" si="9"/>
        <v>0.02887964124873248</v>
      </c>
      <c r="L184" s="151">
        <v>41829</v>
      </c>
      <c r="M184" s="151">
        <v>41864</v>
      </c>
      <c r="N184" s="18">
        <f>2506496.51/730757</f>
        <v>3.4299999999999997</v>
      </c>
      <c r="O184" s="16">
        <f t="shared" si="10"/>
        <v>0.008419720480680024</v>
      </c>
    </row>
    <row r="185" spans="1:16" s="101" customFormat="1" ht="22.5">
      <c r="A185" s="6" t="s">
        <v>209</v>
      </c>
      <c r="B185" s="63" t="s">
        <v>306</v>
      </c>
      <c r="C185" s="13" t="s">
        <v>1033</v>
      </c>
      <c r="D185" s="13" t="s">
        <v>197</v>
      </c>
      <c r="E185" s="13" t="s">
        <v>1012</v>
      </c>
      <c r="F185" s="3" t="s">
        <v>1008</v>
      </c>
      <c r="G185" s="13" t="s">
        <v>210</v>
      </c>
      <c r="H185" s="36">
        <v>7</v>
      </c>
      <c r="I185" s="15">
        <v>990594</v>
      </c>
      <c r="J185" s="12">
        <v>28608</v>
      </c>
      <c r="K185" s="26">
        <f t="shared" si="9"/>
        <v>0.028879641911822605</v>
      </c>
      <c r="L185" s="151">
        <v>41829</v>
      </c>
      <c r="M185" s="151">
        <v>41864</v>
      </c>
      <c r="N185" s="18">
        <f>3397737.42/990594</f>
        <v>3.4299999999999997</v>
      </c>
      <c r="O185" s="16">
        <f t="shared" si="10"/>
        <v>0.00841972067400076</v>
      </c>
      <c r="P185" s="57"/>
    </row>
    <row r="186" spans="1:15" s="101" customFormat="1" ht="22.5">
      <c r="A186" s="6" t="s">
        <v>207</v>
      </c>
      <c r="B186" s="63" t="s">
        <v>306</v>
      </c>
      <c r="C186" s="13" t="s">
        <v>1033</v>
      </c>
      <c r="D186" s="13" t="s">
        <v>197</v>
      </c>
      <c r="E186" s="13" t="s">
        <v>1012</v>
      </c>
      <c r="F186" s="3" t="s">
        <v>1008</v>
      </c>
      <c r="G186" s="13" t="s">
        <v>208</v>
      </c>
      <c r="H186" s="36">
        <v>7</v>
      </c>
      <c r="I186" s="15">
        <v>1401781</v>
      </c>
      <c r="J186" s="12">
        <v>40483</v>
      </c>
      <c r="K186" s="26">
        <f t="shared" si="9"/>
        <v>0.028879689480739146</v>
      </c>
      <c r="L186" s="151">
        <v>41829</v>
      </c>
      <c r="M186" s="151">
        <v>41863</v>
      </c>
      <c r="N186" s="18">
        <f>4808108.83/1401781</f>
        <v>3.43</v>
      </c>
      <c r="O186" s="16">
        <f t="shared" si="10"/>
        <v>0.008419734542489546</v>
      </c>
    </row>
    <row r="187" spans="1:16" s="101" customFormat="1" ht="22.5">
      <c r="A187" s="6" t="s">
        <v>203</v>
      </c>
      <c r="B187" s="63" t="s">
        <v>306</v>
      </c>
      <c r="C187" s="13" t="s">
        <v>1033</v>
      </c>
      <c r="D187" s="13" t="s">
        <v>197</v>
      </c>
      <c r="E187" s="13" t="s">
        <v>1012</v>
      </c>
      <c r="F187" s="3" t="s">
        <v>1008</v>
      </c>
      <c r="G187" s="13" t="s">
        <v>204</v>
      </c>
      <c r="H187" s="36">
        <v>7</v>
      </c>
      <c r="I187" s="15">
        <v>283728</v>
      </c>
      <c r="J187" s="12">
        <v>8194</v>
      </c>
      <c r="K187" s="26">
        <f t="shared" si="9"/>
        <v>0.028879772176168723</v>
      </c>
      <c r="L187" s="151">
        <v>41829</v>
      </c>
      <c r="M187" s="151">
        <v>41863</v>
      </c>
      <c r="N187" s="18">
        <f>973187.04/283728</f>
        <v>3.43</v>
      </c>
      <c r="O187" s="16">
        <f t="shared" si="10"/>
        <v>0.008419758651944234</v>
      </c>
      <c r="P187" s="57"/>
    </row>
    <row r="188" spans="1:15" s="101" customFormat="1" ht="22.5">
      <c r="A188" s="6" t="s">
        <v>444</v>
      </c>
      <c r="B188" s="63" t="s">
        <v>306</v>
      </c>
      <c r="C188" s="13" t="s">
        <v>1033</v>
      </c>
      <c r="D188" s="13" t="s">
        <v>438</v>
      </c>
      <c r="E188" s="13" t="s">
        <v>1012</v>
      </c>
      <c r="F188" s="3" t="s">
        <v>1008</v>
      </c>
      <c r="G188" s="13" t="s">
        <v>445</v>
      </c>
      <c r="H188" s="3">
        <v>7</v>
      </c>
      <c r="I188" s="15">
        <v>319874</v>
      </c>
      <c r="J188" s="15">
        <v>9238</v>
      </c>
      <c r="K188" s="26">
        <f t="shared" si="9"/>
        <v>0.02888012154785947</v>
      </c>
      <c r="L188" s="151">
        <v>41920</v>
      </c>
      <c r="M188" s="151">
        <v>41955</v>
      </c>
      <c r="N188" s="18">
        <f>1097167.82/319874</f>
        <v>3.43</v>
      </c>
      <c r="O188" s="16">
        <f t="shared" si="10"/>
        <v>0.00841986050958002</v>
      </c>
    </row>
    <row r="189" spans="1:15" s="101" customFormat="1" ht="22.5">
      <c r="A189" s="6" t="s">
        <v>196</v>
      </c>
      <c r="B189" s="63" t="s">
        <v>306</v>
      </c>
      <c r="C189" s="13" t="s">
        <v>1033</v>
      </c>
      <c r="D189" s="13" t="s">
        <v>197</v>
      </c>
      <c r="E189" s="13" t="s">
        <v>1012</v>
      </c>
      <c r="F189" s="3" t="s">
        <v>1008</v>
      </c>
      <c r="G189" s="13" t="s">
        <v>198</v>
      </c>
      <c r="H189" s="36">
        <v>7</v>
      </c>
      <c r="I189" s="15">
        <v>593302</v>
      </c>
      <c r="J189" s="12">
        <v>17135</v>
      </c>
      <c r="K189" s="26">
        <f t="shared" si="9"/>
        <v>0.028880738645748708</v>
      </c>
      <c r="L189" s="151">
        <v>41829</v>
      </c>
      <c r="M189" s="151">
        <v>41863</v>
      </c>
      <c r="N189" s="18">
        <f>2035025.86/593302</f>
        <v>3.43</v>
      </c>
      <c r="O189" s="16">
        <f t="shared" si="10"/>
        <v>0.00842004042150108</v>
      </c>
    </row>
    <row r="190" spans="1:16" s="101" customFormat="1" ht="22.5">
      <c r="A190" s="6" t="s">
        <v>205</v>
      </c>
      <c r="B190" s="63" t="s">
        <v>306</v>
      </c>
      <c r="C190" s="13" t="s">
        <v>1033</v>
      </c>
      <c r="D190" s="13" t="s">
        <v>197</v>
      </c>
      <c r="E190" s="13" t="s">
        <v>1012</v>
      </c>
      <c r="F190" s="3" t="s">
        <v>1008</v>
      </c>
      <c r="G190" s="13" t="s">
        <v>206</v>
      </c>
      <c r="H190" s="36">
        <v>7</v>
      </c>
      <c r="I190" s="15">
        <v>482258</v>
      </c>
      <c r="J190" s="12">
        <v>13928</v>
      </c>
      <c r="K190" s="26">
        <f t="shared" si="9"/>
        <v>0.028880806539238333</v>
      </c>
      <c r="L190" s="151">
        <v>41829</v>
      </c>
      <c r="M190" s="151">
        <v>41863</v>
      </c>
      <c r="N190" s="18">
        <f>1654144.94/482258</f>
        <v>3.4299999999999997</v>
      </c>
      <c r="O190" s="16">
        <f t="shared" si="10"/>
        <v>0.00842006021552138</v>
      </c>
      <c r="P190" s="57"/>
    </row>
    <row r="191" spans="1:16" s="101" customFormat="1" ht="22.5">
      <c r="A191" s="6" t="s">
        <v>199</v>
      </c>
      <c r="B191" s="63" t="s">
        <v>306</v>
      </c>
      <c r="C191" s="13" t="s">
        <v>1033</v>
      </c>
      <c r="D191" s="13" t="s">
        <v>197</v>
      </c>
      <c r="E191" s="13" t="s">
        <v>1012</v>
      </c>
      <c r="F191" s="3" t="s">
        <v>1008</v>
      </c>
      <c r="G191" s="13" t="s">
        <v>200</v>
      </c>
      <c r="H191" s="36">
        <v>7</v>
      </c>
      <c r="I191" s="15">
        <v>257056</v>
      </c>
      <c r="J191" s="12">
        <v>7424</v>
      </c>
      <c r="K191" s="26">
        <f t="shared" si="9"/>
        <v>0.02888086642599278</v>
      </c>
      <c r="L191" s="151">
        <v>41829</v>
      </c>
      <c r="M191" s="151">
        <v>41863</v>
      </c>
      <c r="N191" s="18">
        <f>881702.08/257056</f>
        <v>3.4299999999999997</v>
      </c>
      <c r="O191" s="16">
        <f t="shared" si="10"/>
        <v>0.008420077675216554</v>
      </c>
      <c r="P191" s="57"/>
    </row>
    <row r="192" spans="1:16" s="101" customFormat="1" ht="22.5">
      <c r="A192" s="6" t="s">
        <v>213</v>
      </c>
      <c r="B192" s="63" t="s">
        <v>306</v>
      </c>
      <c r="C192" s="13" t="s">
        <v>1033</v>
      </c>
      <c r="D192" s="13" t="s">
        <v>214</v>
      </c>
      <c r="E192" s="13" t="s">
        <v>1012</v>
      </c>
      <c r="F192" s="3" t="s">
        <v>1008</v>
      </c>
      <c r="G192" s="13" t="s">
        <v>215</v>
      </c>
      <c r="H192" s="36">
        <v>7</v>
      </c>
      <c r="I192" s="15">
        <v>280698</v>
      </c>
      <c r="J192" s="12">
        <v>8107</v>
      </c>
      <c r="K192" s="26">
        <f t="shared" si="9"/>
        <v>0.028881573791049456</v>
      </c>
      <c r="L192" s="151">
        <v>41829</v>
      </c>
      <c r="M192" s="151">
        <v>41864</v>
      </c>
      <c r="N192" s="18">
        <f>962794.14/280698</f>
        <v>3.43</v>
      </c>
      <c r="O192" s="16">
        <f t="shared" si="10"/>
        <v>0.00842028390409605</v>
      </c>
      <c r="P192" s="57"/>
    </row>
    <row r="193" spans="1:16" s="101" customFormat="1" ht="22.5">
      <c r="A193" s="6" t="s">
        <v>437</v>
      </c>
      <c r="B193" s="63" t="s">
        <v>306</v>
      </c>
      <c r="C193" s="13" t="s">
        <v>1033</v>
      </c>
      <c r="D193" s="13" t="s">
        <v>438</v>
      </c>
      <c r="E193" s="13" t="s">
        <v>1012</v>
      </c>
      <c r="F193" s="3" t="s">
        <v>1008</v>
      </c>
      <c r="G193" s="13" t="s">
        <v>439</v>
      </c>
      <c r="H193" s="3">
        <v>7</v>
      </c>
      <c r="I193" s="15">
        <v>77867</v>
      </c>
      <c r="J193" s="15">
        <v>2249</v>
      </c>
      <c r="K193" s="26">
        <f t="shared" si="9"/>
        <v>0.02888258183826268</v>
      </c>
      <c r="L193" s="151">
        <v>41920</v>
      </c>
      <c r="M193" s="151">
        <v>41955</v>
      </c>
      <c r="N193" s="18">
        <f>267083.81/77867</f>
        <v>3.43</v>
      </c>
      <c r="O193" s="16">
        <f t="shared" si="10"/>
        <v>0.00842057779541186</v>
      </c>
      <c r="P193" s="57"/>
    </row>
    <row r="194" spans="1:16" s="101" customFormat="1" ht="22.5">
      <c r="A194" s="6" t="s">
        <v>502</v>
      </c>
      <c r="B194" s="63" t="s">
        <v>306</v>
      </c>
      <c r="C194" s="13" t="s">
        <v>1033</v>
      </c>
      <c r="D194" s="13" t="s">
        <v>438</v>
      </c>
      <c r="E194" s="13" t="s">
        <v>1012</v>
      </c>
      <c r="F194" s="3" t="s">
        <v>1006</v>
      </c>
      <c r="G194" s="13" t="s">
        <v>503</v>
      </c>
      <c r="H194" s="3">
        <v>7</v>
      </c>
      <c r="I194" s="15">
        <v>33900</v>
      </c>
      <c r="J194" s="3">
        <v>979</v>
      </c>
      <c r="K194" s="26">
        <f t="shared" si="9"/>
        <v>0.028879056047197642</v>
      </c>
      <c r="L194" s="151">
        <v>41892</v>
      </c>
      <c r="M194" s="151">
        <v>41927</v>
      </c>
      <c r="N194" s="18">
        <f>111531/33900</f>
        <v>3.29</v>
      </c>
      <c r="O194" s="16">
        <f t="shared" si="10"/>
        <v>0.00877782858577436</v>
      </c>
      <c r="P194" s="57"/>
    </row>
    <row r="195" spans="1:16" s="101" customFormat="1" ht="22.5">
      <c r="A195" s="6" t="s">
        <v>499</v>
      </c>
      <c r="B195" s="63" t="s">
        <v>306</v>
      </c>
      <c r="C195" s="13" t="s">
        <v>1033</v>
      </c>
      <c r="D195" s="13" t="s">
        <v>500</v>
      </c>
      <c r="E195" s="13" t="s">
        <v>1012</v>
      </c>
      <c r="F195" s="3" t="s">
        <v>1006</v>
      </c>
      <c r="G195" s="13" t="s">
        <v>501</v>
      </c>
      <c r="H195" s="3">
        <v>7</v>
      </c>
      <c r="I195" s="15">
        <v>1236800</v>
      </c>
      <c r="J195" s="15">
        <v>35719</v>
      </c>
      <c r="K195" s="26">
        <f t="shared" si="9"/>
        <v>0.02888017464424321</v>
      </c>
      <c r="L195" s="151">
        <v>41892</v>
      </c>
      <c r="M195" s="151">
        <v>41927</v>
      </c>
      <c r="N195" s="18">
        <f>4069072/1236800</f>
        <v>3.29</v>
      </c>
      <c r="O195" s="16">
        <f t="shared" si="10"/>
        <v>0.008778168584876355</v>
      </c>
      <c r="P195" s="57"/>
    </row>
    <row r="196" spans="1:16" s="101" customFormat="1" ht="22.5">
      <c r="A196" s="6" t="s">
        <v>278</v>
      </c>
      <c r="B196" s="63" t="s">
        <v>306</v>
      </c>
      <c r="C196" s="13" t="s">
        <v>1033</v>
      </c>
      <c r="D196" s="13" t="s">
        <v>270</v>
      </c>
      <c r="E196" s="13" t="s">
        <v>1012</v>
      </c>
      <c r="F196" s="3" t="s">
        <v>1008</v>
      </c>
      <c r="G196" s="13" t="s">
        <v>279</v>
      </c>
      <c r="H196" s="36">
        <v>7</v>
      </c>
      <c r="I196" s="15">
        <v>423004</v>
      </c>
      <c r="J196" s="12">
        <v>13759</v>
      </c>
      <c r="K196" s="26">
        <f t="shared" si="9"/>
        <v>0.03252687917844749</v>
      </c>
      <c r="L196" s="151">
        <v>41682</v>
      </c>
      <c r="M196" s="151">
        <v>41715</v>
      </c>
      <c r="N196" s="18">
        <f>1535504.52/423004</f>
        <v>3.63</v>
      </c>
      <c r="O196" s="16">
        <f t="shared" si="10"/>
        <v>0.008960572776431815</v>
      </c>
      <c r="P196" s="57"/>
    </row>
    <row r="197" spans="1:16" s="101" customFormat="1" ht="22.5">
      <c r="A197" s="6" t="s">
        <v>274</v>
      </c>
      <c r="B197" s="63" t="s">
        <v>306</v>
      </c>
      <c r="C197" s="13" t="s">
        <v>1033</v>
      </c>
      <c r="D197" s="13" t="s">
        <v>270</v>
      </c>
      <c r="E197" s="13" t="s">
        <v>1012</v>
      </c>
      <c r="F197" s="3" t="s">
        <v>1008</v>
      </c>
      <c r="G197" s="13" t="s">
        <v>275</v>
      </c>
      <c r="H197" s="36">
        <v>7</v>
      </c>
      <c r="I197" s="15">
        <v>900065</v>
      </c>
      <c r="J197" s="12">
        <v>29277</v>
      </c>
      <c r="K197" s="26">
        <f t="shared" si="9"/>
        <v>0.03252765078077694</v>
      </c>
      <c r="L197" s="151">
        <v>41682</v>
      </c>
      <c r="M197" s="151">
        <v>41715</v>
      </c>
      <c r="N197" s="18">
        <f>3267235.95/900065</f>
        <v>3.6300000000000003</v>
      </c>
      <c r="O197" s="16">
        <f t="shared" si="10"/>
        <v>0.008960785339057007</v>
      </c>
      <c r="P197" s="57"/>
    </row>
    <row r="198" spans="1:15" s="101" customFormat="1" ht="22.5">
      <c r="A198" s="6" t="s">
        <v>267</v>
      </c>
      <c r="B198" s="63" t="s">
        <v>306</v>
      </c>
      <c r="C198" s="13" t="s">
        <v>1033</v>
      </c>
      <c r="D198" s="13" t="s">
        <v>265</v>
      </c>
      <c r="E198" s="13" t="s">
        <v>1012</v>
      </c>
      <c r="F198" s="3" t="s">
        <v>1008</v>
      </c>
      <c r="G198" s="13" t="s">
        <v>268</v>
      </c>
      <c r="H198" s="36">
        <v>7</v>
      </c>
      <c r="I198" s="15">
        <v>1307500</v>
      </c>
      <c r="J198" s="12">
        <v>42530</v>
      </c>
      <c r="K198" s="26">
        <f t="shared" si="9"/>
        <v>0.03252772466539197</v>
      </c>
      <c r="L198" s="151">
        <v>41682</v>
      </c>
      <c r="M198" s="151">
        <v>41715</v>
      </c>
      <c r="N198" s="18">
        <f>4746225/1307500</f>
        <v>3.63</v>
      </c>
      <c r="O198" s="16">
        <f t="shared" si="10"/>
        <v>0.008960805692945446</v>
      </c>
    </row>
    <row r="199" spans="1:15" s="101" customFormat="1" ht="22.5">
      <c r="A199" s="6" t="s">
        <v>272</v>
      </c>
      <c r="B199" s="63" t="s">
        <v>306</v>
      </c>
      <c r="C199" s="13" t="s">
        <v>1033</v>
      </c>
      <c r="D199" s="13" t="s">
        <v>270</v>
      </c>
      <c r="E199" s="13" t="s">
        <v>1012</v>
      </c>
      <c r="F199" s="3" t="s">
        <v>1008</v>
      </c>
      <c r="G199" s="13" t="s">
        <v>273</v>
      </c>
      <c r="H199" s="36">
        <v>7</v>
      </c>
      <c r="I199" s="15">
        <v>967996</v>
      </c>
      <c r="J199" s="12">
        <v>31487</v>
      </c>
      <c r="K199" s="26">
        <f t="shared" si="9"/>
        <v>0.03252802697531808</v>
      </c>
      <c r="L199" s="151">
        <v>41682</v>
      </c>
      <c r="M199" s="151">
        <v>41715</v>
      </c>
      <c r="N199" s="18">
        <f>3513825.48/967996</f>
        <v>3.63</v>
      </c>
      <c r="O199" s="16">
        <f t="shared" si="10"/>
        <v>0.008960888973916826</v>
      </c>
    </row>
    <row r="200" spans="1:15" s="101" customFormat="1" ht="22.5">
      <c r="A200" s="6" t="s">
        <v>280</v>
      </c>
      <c r="B200" s="63" t="s">
        <v>306</v>
      </c>
      <c r="C200" s="13" t="s">
        <v>1033</v>
      </c>
      <c r="D200" s="13" t="s">
        <v>281</v>
      </c>
      <c r="E200" s="13" t="s">
        <v>1012</v>
      </c>
      <c r="F200" s="3" t="s">
        <v>1008</v>
      </c>
      <c r="G200" s="13" t="s">
        <v>282</v>
      </c>
      <c r="H200" s="36">
        <v>7</v>
      </c>
      <c r="I200" s="15">
        <v>1283500</v>
      </c>
      <c r="J200" s="12">
        <v>41750</v>
      </c>
      <c r="K200" s="26">
        <f t="shared" si="9"/>
        <v>0.032528243085313595</v>
      </c>
      <c r="L200" s="151">
        <v>41682</v>
      </c>
      <c r="M200" s="151">
        <v>41715</v>
      </c>
      <c r="N200" s="18">
        <f>4659105/1283500</f>
        <v>3.63</v>
      </c>
      <c r="O200" s="16">
        <f t="shared" si="10"/>
        <v>0.008960948508350853</v>
      </c>
    </row>
    <row r="201" spans="1:15" s="101" customFormat="1" ht="22.5">
      <c r="A201" s="6" t="s">
        <v>269</v>
      </c>
      <c r="B201" s="63" t="s">
        <v>306</v>
      </c>
      <c r="C201" s="13" t="s">
        <v>1033</v>
      </c>
      <c r="D201" s="13" t="s">
        <v>270</v>
      </c>
      <c r="E201" s="13" t="s">
        <v>1012</v>
      </c>
      <c r="F201" s="3" t="s">
        <v>1008</v>
      </c>
      <c r="G201" s="13" t="s">
        <v>271</v>
      </c>
      <c r="H201" s="36">
        <v>7</v>
      </c>
      <c r="I201" s="15">
        <v>1403671</v>
      </c>
      <c r="J201" s="12">
        <v>45659</v>
      </c>
      <c r="K201" s="26">
        <f t="shared" si="9"/>
        <v>0.032528277637708554</v>
      </c>
      <c r="L201" s="151">
        <v>41682</v>
      </c>
      <c r="M201" s="151">
        <v>41715</v>
      </c>
      <c r="N201" s="18">
        <f>5095325.73/1403671</f>
        <v>3.6300000000000003</v>
      </c>
      <c r="O201" s="16">
        <f t="shared" si="10"/>
        <v>0.008960958026916956</v>
      </c>
    </row>
    <row r="202" spans="1:15" s="101" customFormat="1" ht="22.5">
      <c r="A202" s="6" t="s">
        <v>283</v>
      </c>
      <c r="B202" s="63" t="s">
        <v>306</v>
      </c>
      <c r="C202" s="13" t="s">
        <v>1033</v>
      </c>
      <c r="D202" s="13" t="s">
        <v>281</v>
      </c>
      <c r="E202" s="13" t="s">
        <v>1012</v>
      </c>
      <c r="F202" s="3" t="s">
        <v>1008</v>
      </c>
      <c r="G202" s="13" t="s">
        <v>284</v>
      </c>
      <c r="H202" s="36">
        <v>7</v>
      </c>
      <c r="I202" s="15">
        <v>369400</v>
      </c>
      <c r="J202" s="12">
        <v>12016</v>
      </c>
      <c r="K202" s="26">
        <f t="shared" si="9"/>
        <v>0.03252842447211694</v>
      </c>
      <c r="L202" s="151">
        <v>41682</v>
      </c>
      <c r="M202" s="151">
        <v>41715</v>
      </c>
      <c r="N202" s="18">
        <f>1340922/369400</f>
        <v>3.63</v>
      </c>
      <c r="O202" s="16">
        <f t="shared" si="10"/>
        <v>0.008960998477167203</v>
      </c>
    </row>
    <row r="203" spans="1:15" s="101" customFormat="1" ht="22.5">
      <c r="A203" s="6" t="s">
        <v>276</v>
      </c>
      <c r="B203" s="63" t="s">
        <v>306</v>
      </c>
      <c r="C203" s="13" t="s">
        <v>1033</v>
      </c>
      <c r="D203" s="13" t="s">
        <v>270</v>
      </c>
      <c r="E203" s="13" t="s">
        <v>1012</v>
      </c>
      <c r="F203" s="3" t="s">
        <v>1008</v>
      </c>
      <c r="G203" s="13" t="s">
        <v>277</v>
      </c>
      <c r="H203" s="36">
        <v>7</v>
      </c>
      <c r="I203" s="15">
        <v>843629</v>
      </c>
      <c r="J203" s="12">
        <v>27442</v>
      </c>
      <c r="K203" s="26">
        <f t="shared" si="9"/>
        <v>0.03252851668209604</v>
      </c>
      <c r="L203" s="151">
        <v>41682</v>
      </c>
      <c r="M203" s="151">
        <v>41715</v>
      </c>
      <c r="N203" s="18">
        <f>3062373.27/843629</f>
        <v>3.63</v>
      </c>
      <c r="O203" s="16">
        <f t="shared" si="10"/>
        <v>0.008961023879365301</v>
      </c>
    </row>
    <row r="204" spans="1:15" s="101" customFormat="1" ht="22.5">
      <c r="A204" s="6" t="s">
        <v>972</v>
      </c>
      <c r="B204" s="63" t="s">
        <v>306</v>
      </c>
      <c r="C204" s="13" t="s">
        <v>1033</v>
      </c>
      <c r="D204" s="13" t="s">
        <v>973</v>
      </c>
      <c r="E204" s="13" t="s">
        <v>1012</v>
      </c>
      <c r="F204" s="3" t="s">
        <v>1008</v>
      </c>
      <c r="G204" s="13" t="s">
        <v>974</v>
      </c>
      <c r="H204" s="36">
        <v>7</v>
      </c>
      <c r="I204" s="15">
        <v>328000</v>
      </c>
      <c r="J204" s="15">
        <v>10520</v>
      </c>
      <c r="K204" s="26">
        <f t="shared" si="9"/>
        <v>0.03207317073170732</v>
      </c>
      <c r="L204" s="151">
        <v>41849</v>
      </c>
      <c r="M204" s="151">
        <v>41884</v>
      </c>
      <c r="N204" s="18">
        <f>1161120/328000</f>
        <v>3.54</v>
      </c>
      <c r="O204" s="16">
        <f t="shared" si="10"/>
        <v>0.009060217720821277</v>
      </c>
    </row>
    <row r="205" spans="1:15" s="101" customFormat="1" ht="22.5">
      <c r="A205" s="6" t="s">
        <v>977</v>
      </c>
      <c r="B205" s="63" t="s">
        <v>306</v>
      </c>
      <c r="C205" s="13" t="s">
        <v>1033</v>
      </c>
      <c r="D205" s="13" t="s">
        <v>973</v>
      </c>
      <c r="E205" s="13" t="s">
        <v>1012</v>
      </c>
      <c r="F205" s="3" t="s">
        <v>1008</v>
      </c>
      <c r="G205" s="13" t="s">
        <v>978</v>
      </c>
      <c r="H205" s="36">
        <v>7</v>
      </c>
      <c r="I205" s="15">
        <v>347000</v>
      </c>
      <c r="J205" s="15">
        <v>11177</v>
      </c>
      <c r="K205" s="26">
        <f t="shared" si="9"/>
        <v>0.03221037463976945</v>
      </c>
      <c r="L205" s="151">
        <v>41849</v>
      </c>
      <c r="M205" s="151">
        <v>41884</v>
      </c>
      <c r="N205" s="18">
        <f>1228380/347000</f>
        <v>3.54</v>
      </c>
      <c r="O205" s="16">
        <f t="shared" si="10"/>
        <v>0.009098975886940523</v>
      </c>
    </row>
    <row r="206" spans="1:15" s="101" customFormat="1" ht="22.5">
      <c r="A206" s="6" t="s">
        <v>975</v>
      </c>
      <c r="B206" s="63" t="s">
        <v>306</v>
      </c>
      <c r="C206" s="13" t="s">
        <v>1033</v>
      </c>
      <c r="D206" s="13" t="s">
        <v>973</v>
      </c>
      <c r="E206" s="13" t="s">
        <v>1012</v>
      </c>
      <c r="F206" s="3" t="s">
        <v>1008</v>
      </c>
      <c r="G206" s="13" t="s">
        <v>976</v>
      </c>
      <c r="H206" s="36">
        <v>7</v>
      </c>
      <c r="I206" s="15">
        <v>348100</v>
      </c>
      <c r="J206" s="15">
        <v>11215</v>
      </c>
      <c r="K206" s="26">
        <f t="shared" si="9"/>
        <v>0.032217753519103706</v>
      </c>
      <c r="L206" s="151">
        <v>41849</v>
      </c>
      <c r="M206" s="151">
        <v>41884</v>
      </c>
      <c r="N206" s="18">
        <f>1232274/348100</f>
        <v>3.54</v>
      </c>
      <c r="O206" s="16">
        <f t="shared" si="10"/>
        <v>0.00910106031613099</v>
      </c>
    </row>
    <row r="207" spans="1:15" s="101" customFormat="1" ht="22.5">
      <c r="A207" s="6" t="s">
        <v>260</v>
      </c>
      <c r="B207" s="63" t="s">
        <v>306</v>
      </c>
      <c r="C207" s="13" t="s">
        <v>1033</v>
      </c>
      <c r="D207" s="13" t="s">
        <v>258</v>
      </c>
      <c r="E207" s="13" t="s">
        <v>1012</v>
      </c>
      <c r="F207" s="3" t="s">
        <v>1008</v>
      </c>
      <c r="G207" s="13" t="s">
        <v>261</v>
      </c>
      <c r="H207" s="36">
        <v>7</v>
      </c>
      <c r="I207" s="15">
        <v>516700</v>
      </c>
      <c r="J207" s="12">
        <v>16807</v>
      </c>
      <c r="K207" s="26">
        <f t="shared" si="9"/>
        <v>0.03252757886587962</v>
      </c>
      <c r="L207" s="151">
        <v>41682</v>
      </c>
      <c r="M207" s="151">
        <v>41715</v>
      </c>
      <c r="N207" s="18">
        <f>1751613/516700</f>
        <v>3.39</v>
      </c>
      <c r="O207" s="16">
        <f t="shared" si="10"/>
        <v>0.009595156007634106</v>
      </c>
    </row>
    <row r="208" spans="1:15" s="101" customFormat="1" ht="22.5">
      <c r="A208" s="6" t="s">
        <v>979</v>
      </c>
      <c r="B208" s="63" t="s">
        <v>306</v>
      </c>
      <c r="C208" s="13" t="s">
        <v>1033</v>
      </c>
      <c r="D208" s="13" t="s">
        <v>980</v>
      </c>
      <c r="E208" s="13" t="s">
        <v>1012</v>
      </c>
      <c r="F208" s="3" t="s">
        <v>1008</v>
      </c>
      <c r="G208" s="13" t="s">
        <v>981</v>
      </c>
      <c r="H208" s="36">
        <v>7</v>
      </c>
      <c r="I208" s="15">
        <v>639900</v>
      </c>
      <c r="J208" s="15">
        <v>21960</v>
      </c>
      <c r="K208" s="26">
        <f t="shared" si="9"/>
        <v>0.034317862165963435</v>
      </c>
      <c r="L208" s="151">
        <v>41849</v>
      </c>
      <c r="M208" s="151">
        <v>41884</v>
      </c>
      <c r="N208" s="18">
        <f>2278044/639900</f>
        <v>3.56</v>
      </c>
      <c r="O208" s="16">
        <f t="shared" si="10"/>
        <v>0.009639848923023437</v>
      </c>
    </row>
    <row r="209" spans="1:15" s="101" customFormat="1" ht="22.5">
      <c r="A209" s="6" t="s">
        <v>257</v>
      </c>
      <c r="B209" s="63" t="s">
        <v>306</v>
      </c>
      <c r="C209" s="13" t="s">
        <v>1033</v>
      </c>
      <c r="D209" s="13" t="s">
        <v>258</v>
      </c>
      <c r="E209" s="13" t="s">
        <v>1012</v>
      </c>
      <c r="F209" s="3" t="s">
        <v>1008</v>
      </c>
      <c r="G209" s="13" t="s">
        <v>259</v>
      </c>
      <c r="H209" s="36">
        <v>7</v>
      </c>
      <c r="I209" s="15">
        <v>1198300</v>
      </c>
      <c r="J209" s="12">
        <v>38978</v>
      </c>
      <c r="K209" s="26">
        <f t="shared" si="9"/>
        <v>0.03252774764249353</v>
      </c>
      <c r="L209" s="151">
        <v>41682</v>
      </c>
      <c r="M209" s="151">
        <v>41715</v>
      </c>
      <c r="N209" s="18">
        <f>3942407/1198300</f>
        <v>3.29</v>
      </c>
      <c r="O209" s="16">
        <f t="shared" si="10"/>
        <v>0.00988685338677615</v>
      </c>
    </row>
    <row r="210" spans="1:15" s="101" customFormat="1" ht="22.5">
      <c r="A210" s="6" t="s">
        <v>264</v>
      </c>
      <c r="B210" s="63" t="s">
        <v>306</v>
      </c>
      <c r="C210" s="13" t="s">
        <v>1033</v>
      </c>
      <c r="D210" s="13" t="s">
        <v>265</v>
      </c>
      <c r="E210" s="13" t="s">
        <v>1012</v>
      </c>
      <c r="F210" s="3" t="s">
        <v>1008</v>
      </c>
      <c r="G210" s="13" t="s">
        <v>266</v>
      </c>
      <c r="H210" s="36">
        <v>7</v>
      </c>
      <c r="I210" s="15">
        <v>891300</v>
      </c>
      <c r="J210" s="12">
        <v>28992</v>
      </c>
      <c r="K210" s="26">
        <f t="shared" si="9"/>
        <v>0.032527768428138676</v>
      </c>
      <c r="L210" s="151">
        <v>41682</v>
      </c>
      <c r="M210" s="151">
        <v>41715</v>
      </c>
      <c r="N210" s="18">
        <f>2914551/891300</f>
        <v>3.27</v>
      </c>
      <c r="O210" s="16">
        <f t="shared" si="10"/>
        <v>0.00994732979453782</v>
      </c>
    </row>
    <row r="211" spans="1:15" s="101" customFormat="1" ht="22.5">
      <c r="A211" s="6" t="s">
        <v>262</v>
      </c>
      <c r="B211" s="63" t="s">
        <v>306</v>
      </c>
      <c r="C211" s="13" t="s">
        <v>1033</v>
      </c>
      <c r="D211" s="13" t="s">
        <v>258</v>
      </c>
      <c r="E211" s="13" t="s">
        <v>1012</v>
      </c>
      <c r="F211" s="3" t="s">
        <v>1008</v>
      </c>
      <c r="G211" s="13" t="s">
        <v>263</v>
      </c>
      <c r="H211" s="36">
        <v>7</v>
      </c>
      <c r="I211" s="15">
        <v>1245900</v>
      </c>
      <c r="J211" s="12">
        <v>40527</v>
      </c>
      <c r="K211" s="26">
        <f t="shared" si="9"/>
        <v>0.032528292800385265</v>
      </c>
      <c r="L211" s="151">
        <v>41682</v>
      </c>
      <c r="M211" s="151">
        <v>41715</v>
      </c>
      <c r="N211" s="18">
        <f>4074093/1245900</f>
        <v>3.27</v>
      </c>
      <c r="O211" s="16">
        <f t="shared" si="10"/>
        <v>0.009947490153023018</v>
      </c>
    </row>
    <row r="212" spans="1:15" s="101" customFormat="1" ht="22.5">
      <c r="A212" s="6" t="s">
        <v>254</v>
      </c>
      <c r="B212" s="63" t="s">
        <v>306</v>
      </c>
      <c r="C212" s="13" t="s">
        <v>1033</v>
      </c>
      <c r="D212" s="13" t="s">
        <v>255</v>
      </c>
      <c r="E212" s="13" t="s">
        <v>1012</v>
      </c>
      <c r="F212" s="3" t="s">
        <v>1008</v>
      </c>
      <c r="G212" s="13" t="s">
        <v>256</v>
      </c>
      <c r="H212" s="36">
        <v>7</v>
      </c>
      <c r="I212" s="15">
        <v>1250200</v>
      </c>
      <c r="J212" s="12">
        <v>40667</v>
      </c>
      <c r="K212" s="26">
        <f t="shared" si="9"/>
        <v>0.03252839545672692</v>
      </c>
      <c r="L212" s="151">
        <v>41682</v>
      </c>
      <c r="M212" s="151">
        <v>41715</v>
      </c>
      <c r="N212" s="18">
        <f>3975636/1250200</f>
        <v>3.18</v>
      </c>
      <c r="O212" s="16">
        <f t="shared" si="10"/>
        <v>0.01022905517507136</v>
      </c>
    </row>
    <row r="213" spans="1:15" s="101" customFormat="1" ht="22.5">
      <c r="A213" s="6" t="s">
        <v>90</v>
      </c>
      <c r="B213" s="63" t="s">
        <v>306</v>
      </c>
      <c r="C213" s="13" t="s">
        <v>1033</v>
      </c>
      <c r="D213" s="13" t="s">
        <v>88</v>
      </c>
      <c r="E213" s="13" t="s">
        <v>1012</v>
      </c>
      <c r="F213" s="3" t="s">
        <v>1117</v>
      </c>
      <c r="G213" s="13" t="s">
        <v>91</v>
      </c>
      <c r="H213" s="3">
        <v>7</v>
      </c>
      <c r="I213" s="15">
        <v>676124</v>
      </c>
      <c r="J213" s="15">
        <v>24542</v>
      </c>
      <c r="K213" s="26">
        <f t="shared" si="9"/>
        <v>0.03629807550094361</v>
      </c>
      <c r="L213" s="151">
        <v>41941</v>
      </c>
      <c r="M213" s="151">
        <v>41974</v>
      </c>
      <c r="N213" s="18">
        <f>2048655.72/676124</f>
        <v>3.03</v>
      </c>
      <c r="O213" s="16">
        <f t="shared" si="10"/>
        <v>0.011979562871598553</v>
      </c>
    </row>
    <row r="214" spans="1:15" s="101" customFormat="1" ht="22.5">
      <c r="A214" s="6" t="s">
        <v>87</v>
      </c>
      <c r="B214" s="63" t="s">
        <v>306</v>
      </c>
      <c r="C214" s="13" t="s">
        <v>1033</v>
      </c>
      <c r="D214" s="13" t="s">
        <v>88</v>
      </c>
      <c r="E214" s="13" t="s">
        <v>1012</v>
      </c>
      <c r="F214" s="3" t="s">
        <v>1117</v>
      </c>
      <c r="G214" s="13" t="s">
        <v>89</v>
      </c>
      <c r="H214" s="3">
        <v>7</v>
      </c>
      <c r="I214" s="15">
        <v>731787</v>
      </c>
      <c r="J214" s="15">
        <v>26561</v>
      </c>
      <c r="K214" s="26">
        <f t="shared" si="9"/>
        <v>0.03629608069014618</v>
      </c>
      <c r="L214" s="151">
        <v>41941</v>
      </c>
      <c r="M214" s="151">
        <v>41974</v>
      </c>
      <c r="N214" s="18">
        <f>2122182.3/731787</f>
        <v>2.9</v>
      </c>
      <c r="O214" s="16">
        <f t="shared" si="10"/>
        <v>0.012515889893153855</v>
      </c>
    </row>
    <row r="215" spans="1:15" s="101" customFormat="1" ht="22.5">
      <c r="A215" s="6" t="s">
        <v>193</v>
      </c>
      <c r="B215" s="13" t="s">
        <v>306</v>
      </c>
      <c r="C215" s="13" t="s">
        <v>1033</v>
      </c>
      <c r="D215" s="13" t="s">
        <v>194</v>
      </c>
      <c r="E215" s="13" t="s">
        <v>1012</v>
      </c>
      <c r="F215" s="3" t="s">
        <v>1008</v>
      </c>
      <c r="G215" s="13" t="s">
        <v>195</v>
      </c>
      <c r="H215" s="36">
        <v>7</v>
      </c>
      <c r="I215" s="15">
        <v>187949</v>
      </c>
      <c r="J215" s="12">
        <v>5428</v>
      </c>
      <c r="K215" s="26">
        <f t="shared" si="9"/>
        <v>0.028880174941074442</v>
      </c>
      <c r="L215" s="151">
        <v>41829</v>
      </c>
      <c r="M215" s="151">
        <v>41863</v>
      </c>
      <c r="N215" s="18">
        <f>409728.82/187949</f>
        <v>2.18</v>
      </c>
      <c r="O215" s="16">
        <f t="shared" si="10"/>
        <v>0.013247786670217632</v>
      </c>
    </row>
    <row r="216" spans="1:16" s="101" customFormat="1" ht="22.5">
      <c r="A216" s="6" t="s">
        <v>565</v>
      </c>
      <c r="B216" s="63" t="s">
        <v>306</v>
      </c>
      <c r="C216" s="13" t="s">
        <v>168</v>
      </c>
      <c r="D216" s="13" t="s">
        <v>566</v>
      </c>
      <c r="E216" s="13" t="s">
        <v>1012</v>
      </c>
      <c r="F216" s="3" t="s">
        <v>1008</v>
      </c>
      <c r="G216" s="13" t="s">
        <v>567</v>
      </c>
      <c r="H216" s="3">
        <v>10</v>
      </c>
      <c r="I216" s="15">
        <v>120360</v>
      </c>
      <c r="J216" s="15">
        <v>4048</v>
      </c>
      <c r="K216" s="26">
        <f aca="true" t="shared" si="11" ref="K216:K221">J216/I216</f>
        <v>0.03363243602525756</v>
      </c>
      <c r="L216" s="151">
        <v>41928</v>
      </c>
      <c r="M216" s="151">
        <v>41960</v>
      </c>
      <c r="N216" s="18">
        <f>818448/120360</f>
        <v>6.8</v>
      </c>
      <c r="O216" s="16">
        <f aca="true" t="shared" si="12" ref="O216:O221">K216/N216</f>
        <v>0.004945946474302583</v>
      </c>
      <c r="P216" s="57"/>
    </row>
    <row r="217" spans="1:16" s="101" customFormat="1" ht="22.5">
      <c r="A217" s="6" t="s">
        <v>568</v>
      </c>
      <c r="B217" s="63" t="s">
        <v>306</v>
      </c>
      <c r="C217" s="13" t="s">
        <v>168</v>
      </c>
      <c r="D217" s="13" t="s">
        <v>566</v>
      </c>
      <c r="E217" s="13" t="s">
        <v>1012</v>
      </c>
      <c r="F217" s="3" t="s">
        <v>1008</v>
      </c>
      <c r="G217" s="13" t="s">
        <v>569</v>
      </c>
      <c r="H217" s="3">
        <v>10</v>
      </c>
      <c r="I217" s="15">
        <v>437580</v>
      </c>
      <c r="J217" s="15">
        <v>49053</v>
      </c>
      <c r="K217" s="26">
        <f t="shared" si="11"/>
        <v>0.11210064445358563</v>
      </c>
      <c r="L217" s="151">
        <v>41928</v>
      </c>
      <c r="M217" s="151">
        <v>41960</v>
      </c>
      <c r="N217" s="18">
        <f>2975544/437580</f>
        <v>6.8</v>
      </c>
      <c r="O217" s="16">
        <f t="shared" si="12"/>
        <v>0.016485388890233182</v>
      </c>
      <c r="P217" s="57"/>
    </row>
    <row r="218" spans="1:16" s="101" customFormat="1" ht="22.5">
      <c r="A218" s="6" t="s">
        <v>518</v>
      </c>
      <c r="B218" s="63" t="s">
        <v>306</v>
      </c>
      <c r="C218" s="13" t="s">
        <v>168</v>
      </c>
      <c r="D218" s="13" t="s">
        <v>512</v>
      </c>
      <c r="E218" s="13" t="s">
        <v>1012</v>
      </c>
      <c r="F218" s="3" t="s">
        <v>1008</v>
      </c>
      <c r="G218" s="13" t="s">
        <v>519</v>
      </c>
      <c r="H218" s="3">
        <v>10</v>
      </c>
      <c r="I218" s="15">
        <v>948892</v>
      </c>
      <c r="J218" s="15">
        <v>92000</v>
      </c>
      <c r="K218" s="26">
        <f t="shared" si="11"/>
        <v>0.09695518562702604</v>
      </c>
      <c r="L218" s="151">
        <v>41893</v>
      </c>
      <c r="M218" s="151">
        <v>41929</v>
      </c>
      <c r="N218" s="18">
        <f>4886793.8/948892</f>
        <v>5.1499999999999995</v>
      </c>
      <c r="O218" s="16">
        <f t="shared" si="12"/>
        <v>0.01882624963631574</v>
      </c>
      <c r="P218" s="57"/>
    </row>
    <row r="219" spans="1:16" s="101" customFormat="1" ht="22.5">
      <c r="A219" s="6" t="s">
        <v>516</v>
      </c>
      <c r="B219" s="63" t="s">
        <v>306</v>
      </c>
      <c r="C219" s="13" t="s">
        <v>168</v>
      </c>
      <c r="D219" s="13" t="s">
        <v>512</v>
      </c>
      <c r="E219" s="13" t="s">
        <v>1012</v>
      </c>
      <c r="F219" s="3" t="s">
        <v>1107</v>
      </c>
      <c r="G219" s="13" t="s">
        <v>517</v>
      </c>
      <c r="H219" s="3">
        <v>10</v>
      </c>
      <c r="I219" s="15">
        <v>561876</v>
      </c>
      <c r="J219" s="15">
        <v>54500</v>
      </c>
      <c r="K219" s="26">
        <f t="shared" si="11"/>
        <v>0.096996490328827</v>
      </c>
      <c r="L219" s="151">
        <v>41893</v>
      </c>
      <c r="M219" s="151">
        <v>41929</v>
      </c>
      <c r="N219" s="18">
        <f>2893661.4/561876</f>
        <v>5.1499999999999995</v>
      </c>
      <c r="O219" s="16">
        <f t="shared" si="12"/>
        <v>0.018834269966762525</v>
      </c>
      <c r="P219" s="57"/>
    </row>
    <row r="220" spans="1:16" s="101" customFormat="1" ht="22.5">
      <c r="A220" s="6" t="s">
        <v>511</v>
      </c>
      <c r="B220" s="63" t="s">
        <v>306</v>
      </c>
      <c r="C220" s="13" t="s">
        <v>168</v>
      </c>
      <c r="D220" s="13" t="s">
        <v>512</v>
      </c>
      <c r="E220" s="13" t="s">
        <v>1012</v>
      </c>
      <c r="F220" s="3" t="s">
        <v>1008</v>
      </c>
      <c r="G220" s="13" t="s">
        <v>513</v>
      </c>
      <c r="H220" s="3">
        <v>10</v>
      </c>
      <c r="I220" s="15">
        <v>310832</v>
      </c>
      <c r="J220" s="15">
        <v>30150</v>
      </c>
      <c r="K220" s="26">
        <f t="shared" si="11"/>
        <v>0.09699773511092809</v>
      </c>
      <c r="L220" s="151">
        <v>41893</v>
      </c>
      <c r="M220" s="151">
        <v>41929</v>
      </c>
      <c r="N220" s="18">
        <f>1600784.8/310832</f>
        <v>5.15</v>
      </c>
      <c r="O220" s="16">
        <f t="shared" si="12"/>
        <v>0.01883451167202487</v>
      </c>
      <c r="P220" s="57"/>
    </row>
    <row r="221" spans="1:16" s="101" customFormat="1" ht="22.5">
      <c r="A221" s="6" t="s">
        <v>514</v>
      </c>
      <c r="B221" s="63" t="s">
        <v>306</v>
      </c>
      <c r="C221" s="13" t="s">
        <v>168</v>
      </c>
      <c r="D221" s="13" t="s">
        <v>512</v>
      </c>
      <c r="E221" s="13" t="s">
        <v>1012</v>
      </c>
      <c r="F221" s="3" t="s">
        <v>1008</v>
      </c>
      <c r="G221" s="13" t="s">
        <v>515</v>
      </c>
      <c r="H221" s="3">
        <v>10</v>
      </c>
      <c r="I221" s="15">
        <v>828000</v>
      </c>
      <c r="J221" s="15">
        <v>80316</v>
      </c>
      <c r="K221" s="26">
        <f t="shared" si="11"/>
        <v>0.097</v>
      </c>
      <c r="L221" s="151">
        <v>41893</v>
      </c>
      <c r="M221" s="151">
        <v>41929</v>
      </c>
      <c r="N221" s="18">
        <f>4264200/828000</f>
        <v>5.15</v>
      </c>
      <c r="O221" s="137">
        <f t="shared" si="12"/>
        <v>0.01883495145631068</v>
      </c>
      <c r="P221" s="57"/>
    </row>
    <row r="222" spans="1:16" s="101" customFormat="1" ht="22.5">
      <c r="A222" s="6" t="s">
        <v>504</v>
      </c>
      <c r="B222" s="63" t="s">
        <v>306</v>
      </c>
      <c r="C222" s="13" t="s">
        <v>1168</v>
      </c>
      <c r="D222" s="13" t="s">
        <v>505</v>
      </c>
      <c r="E222" s="13" t="s">
        <v>1012</v>
      </c>
      <c r="F222" s="3" t="s">
        <v>1006</v>
      </c>
      <c r="G222" s="13" t="s">
        <v>506</v>
      </c>
      <c r="H222" s="3">
        <v>15</v>
      </c>
      <c r="I222" s="15">
        <v>554210</v>
      </c>
      <c r="J222" s="15">
        <v>41500</v>
      </c>
      <c r="K222" s="26">
        <f aca="true" t="shared" si="13" ref="K222:K234">J222/I222</f>
        <v>0.0748813626603634</v>
      </c>
      <c r="L222" s="151">
        <v>41892</v>
      </c>
      <c r="M222" s="151">
        <v>41942</v>
      </c>
      <c r="N222" s="18">
        <f>4904758.5/554210</f>
        <v>8.85</v>
      </c>
      <c r="O222" s="137">
        <f aca="true" t="shared" si="14" ref="O222:O234">K222/N222</f>
        <v>0.00846117092207496</v>
      </c>
      <c r="P222" s="57"/>
    </row>
    <row r="223" spans="1:16" s="101" customFormat="1" ht="33.75">
      <c r="A223" s="6" t="s">
        <v>795</v>
      </c>
      <c r="B223" s="63" t="s">
        <v>306</v>
      </c>
      <c r="C223" s="13" t="s">
        <v>786</v>
      </c>
      <c r="D223" s="13" t="s">
        <v>787</v>
      </c>
      <c r="E223" s="13" t="s">
        <v>1012</v>
      </c>
      <c r="F223" s="3" t="s">
        <v>1008</v>
      </c>
      <c r="G223" s="13" t="s">
        <v>796</v>
      </c>
      <c r="H223" s="36">
        <v>15</v>
      </c>
      <c r="I223" s="15">
        <v>10156054</v>
      </c>
      <c r="J223" s="15">
        <v>712189.5</v>
      </c>
      <c r="K223" s="26">
        <f t="shared" si="13"/>
        <v>0.07012462714357368</v>
      </c>
      <c r="L223" s="151">
        <v>41753</v>
      </c>
      <c r="M223" s="151">
        <v>41785</v>
      </c>
      <c r="N223" s="18">
        <f>34936825.76/10156054</f>
        <v>3.44</v>
      </c>
      <c r="O223" s="137">
        <f t="shared" si="14"/>
        <v>0.020385066030108628</v>
      </c>
      <c r="P223" s="57"/>
    </row>
    <row r="224" spans="1:16" s="101" customFormat="1" ht="33.75">
      <c r="A224" s="6" t="s">
        <v>801</v>
      </c>
      <c r="B224" s="63" t="s">
        <v>306</v>
      </c>
      <c r="C224" s="13" t="s">
        <v>786</v>
      </c>
      <c r="D224" s="13" t="s">
        <v>787</v>
      </c>
      <c r="E224" s="13" t="s">
        <v>1012</v>
      </c>
      <c r="F224" s="3" t="s">
        <v>1008</v>
      </c>
      <c r="G224" s="13" t="s">
        <v>802</v>
      </c>
      <c r="H224" s="36">
        <v>15</v>
      </c>
      <c r="I224" s="15">
        <v>2312019</v>
      </c>
      <c r="J224" s="15">
        <v>215634.5</v>
      </c>
      <c r="K224" s="26">
        <f t="shared" si="13"/>
        <v>0.09326675083552514</v>
      </c>
      <c r="L224" s="151">
        <v>41753</v>
      </c>
      <c r="M224" s="151">
        <v>41785</v>
      </c>
      <c r="N224" s="18">
        <f>8762552.01/2312019</f>
        <v>3.79</v>
      </c>
      <c r="O224" s="137">
        <f t="shared" si="14"/>
        <v>0.02460864138140505</v>
      </c>
      <c r="P224" s="57"/>
    </row>
    <row r="225" spans="1:16" s="101" customFormat="1" ht="33.75">
      <c r="A225" s="6" t="s">
        <v>799</v>
      </c>
      <c r="B225" s="63" t="s">
        <v>306</v>
      </c>
      <c r="C225" s="13" t="s">
        <v>786</v>
      </c>
      <c r="D225" s="13" t="s">
        <v>787</v>
      </c>
      <c r="E225" s="13" t="s">
        <v>1012</v>
      </c>
      <c r="F225" s="3" t="s">
        <v>1008</v>
      </c>
      <c r="G225" s="13" t="s">
        <v>800</v>
      </c>
      <c r="H225" s="36">
        <v>15</v>
      </c>
      <c r="I225" s="15">
        <v>2645460</v>
      </c>
      <c r="J225" s="15">
        <v>185551</v>
      </c>
      <c r="K225" s="26">
        <f t="shared" si="13"/>
        <v>0.07013940864726739</v>
      </c>
      <c r="L225" s="151">
        <v>41753</v>
      </c>
      <c r="M225" s="151">
        <v>41785</v>
      </c>
      <c r="N225" s="18">
        <f>6693013.8/2645460</f>
        <v>2.53</v>
      </c>
      <c r="O225" s="137">
        <f t="shared" si="14"/>
        <v>0.02772308642184482</v>
      </c>
      <c r="P225" s="57"/>
    </row>
    <row r="226" spans="1:15" s="101" customFormat="1" ht="22.5">
      <c r="A226" s="6" t="s">
        <v>448</v>
      </c>
      <c r="B226" s="63" t="s">
        <v>306</v>
      </c>
      <c r="C226" s="13" t="s">
        <v>691</v>
      </c>
      <c r="D226" s="13" t="s">
        <v>692</v>
      </c>
      <c r="E226" s="13" t="s">
        <v>1012</v>
      </c>
      <c r="F226" s="3" t="s">
        <v>1107</v>
      </c>
      <c r="G226" s="13" t="s">
        <v>449</v>
      </c>
      <c r="H226" s="3">
        <v>15</v>
      </c>
      <c r="I226" s="15">
        <v>605000</v>
      </c>
      <c r="J226" s="15">
        <v>31460</v>
      </c>
      <c r="K226" s="26">
        <f t="shared" si="13"/>
        <v>0.052</v>
      </c>
      <c r="L226" s="151">
        <v>41914</v>
      </c>
      <c r="M226" s="151">
        <v>41956</v>
      </c>
      <c r="N226" s="18">
        <f>3901645/605000</f>
        <v>6.449</v>
      </c>
      <c r="O226" s="137">
        <f t="shared" si="14"/>
        <v>0.008063265622577144</v>
      </c>
    </row>
    <row r="227" spans="1:15" s="101" customFormat="1" ht="22.5">
      <c r="A227" s="6" t="s">
        <v>450</v>
      </c>
      <c r="B227" s="63" t="s">
        <v>306</v>
      </c>
      <c r="C227" s="13" t="s">
        <v>691</v>
      </c>
      <c r="D227" s="13" t="s">
        <v>692</v>
      </c>
      <c r="E227" s="13" t="s">
        <v>1012</v>
      </c>
      <c r="F227" s="3" t="s">
        <v>1107</v>
      </c>
      <c r="G227" s="13" t="s">
        <v>451</v>
      </c>
      <c r="H227" s="3">
        <v>15</v>
      </c>
      <c r="I227" s="15">
        <v>605000</v>
      </c>
      <c r="J227" s="15">
        <v>31460</v>
      </c>
      <c r="K227" s="26">
        <f t="shared" si="13"/>
        <v>0.052</v>
      </c>
      <c r="L227" s="151">
        <v>41914</v>
      </c>
      <c r="M227" s="151">
        <v>41956</v>
      </c>
      <c r="N227" s="18">
        <f>3901645/605000</f>
        <v>6.449</v>
      </c>
      <c r="O227" s="137">
        <f t="shared" si="14"/>
        <v>0.008063265622577144</v>
      </c>
    </row>
    <row r="228" spans="1:15" s="101" customFormat="1" ht="22.5">
      <c r="A228" s="6" t="s">
        <v>452</v>
      </c>
      <c r="B228" s="63" t="s">
        <v>306</v>
      </c>
      <c r="C228" s="13" t="s">
        <v>691</v>
      </c>
      <c r="D228" s="13" t="s">
        <v>692</v>
      </c>
      <c r="E228" s="13" t="s">
        <v>1012</v>
      </c>
      <c r="F228" s="3" t="s">
        <v>1107</v>
      </c>
      <c r="G228" s="13" t="s">
        <v>453</v>
      </c>
      <c r="H228" s="3">
        <v>15</v>
      </c>
      <c r="I228" s="15">
        <v>605000</v>
      </c>
      <c r="J228" s="15">
        <v>31460</v>
      </c>
      <c r="K228" s="26">
        <f t="shared" si="13"/>
        <v>0.052</v>
      </c>
      <c r="L228" s="151">
        <v>41914</v>
      </c>
      <c r="M228" s="151">
        <v>41956</v>
      </c>
      <c r="N228" s="18">
        <f>3901645/605000</f>
        <v>6.449</v>
      </c>
      <c r="O228" s="137">
        <f t="shared" si="14"/>
        <v>0.008063265622577144</v>
      </c>
    </row>
    <row r="229" spans="1:15" s="101" customFormat="1" ht="22.5">
      <c r="A229" s="6" t="s">
        <v>454</v>
      </c>
      <c r="B229" s="63" t="s">
        <v>306</v>
      </c>
      <c r="C229" s="13" t="s">
        <v>691</v>
      </c>
      <c r="D229" s="13" t="s">
        <v>692</v>
      </c>
      <c r="E229" s="13" t="s">
        <v>1012</v>
      </c>
      <c r="F229" s="3" t="s">
        <v>1107</v>
      </c>
      <c r="G229" s="13" t="s">
        <v>455</v>
      </c>
      <c r="H229" s="3">
        <v>15</v>
      </c>
      <c r="I229" s="15">
        <v>300000</v>
      </c>
      <c r="J229" s="15">
        <v>16500</v>
      </c>
      <c r="K229" s="26">
        <f t="shared" si="13"/>
        <v>0.055</v>
      </c>
      <c r="L229" s="151">
        <v>41914</v>
      </c>
      <c r="M229" s="151">
        <v>41956</v>
      </c>
      <c r="N229" s="18">
        <f>1934700/300000</f>
        <v>6.449</v>
      </c>
      <c r="O229" s="137">
        <f t="shared" si="14"/>
        <v>0.008528454023879672</v>
      </c>
    </row>
    <row r="230" spans="1:15" s="101" customFormat="1" ht="22.5">
      <c r="A230" s="6" t="s">
        <v>458</v>
      </c>
      <c r="B230" s="63" t="s">
        <v>306</v>
      </c>
      <c r="C230" s="13" t="s">
        <v>691</v>
      </c>
      <c r="D230" s="13" t="s">
        <v>692</v>
      </c>
      <c r="E230" s="13" t="s">
        <v>1012</v>
      </c>
      <c r="F230" s="3" t="s">
        <v>1107</v>
      </c>
      <c r="G230" s="13" t="s">
        <v>459</v>
      </c>
      <c r="H230" s="3">
        <v>15</v>
      </c>
      <c r="I230" s="15">
        <v>62000</v>
      </c>
      <c r="J230" s="15">
        <v>3906</v>
      </c>
      <c r="K230" s="26">
        <f t="shared" si="13"/>
        <v>0.063</v>
      </c>
      <c r="L230" s="151">
        <v>41914</v>
      </c>
      <c r="M230" s="151">
        <v>41956</v>
      </c>
      <c r="N230" s="18">
        <f>401140/62000</f>
        <v>6.47</v>
      </c>
      <c r="O230" s="137">
        <f t="shared" si="14"/>
        <v>0.00973724884080371</v>
      </c>
    </row>
    <row r="231" spans="1:15" s="101" customFormat="1" ht="22.5">
      <c r="A231" s="6" t="s">
        <v>456</v>
      </c>
      <c r="B231" s="63" t="s">
        <v>306</v>
      </c>
      <c r="C231" s="13" t="s">
        <v>691</v>
      </c>
      <c r="D231" s="13" t="s">
        <v>692</v>
      </c>
      <c r="E231" s="13" t="s">
        <v>1012</v>
      </c>
      <c r="F231" s="3" t="s">
        <v>1107</v>
      </c>
      <c r="G231" s="13" t="s">
        <v>457</v>
      </c>
      <c r="H231" s="3">
        <v>15</v>
      </c>
      <c r="I231" s="15">
        <v>62000</v>
      </c>
      <c r="J231" s="15">
        <v>3906</v>
      </c>
      <c r="K231" s="26">
        <f t="shared" si="13"/>
        <v>0.063</v>
      </c>
      <c r="L231" s="151">
        <v>41914</v>
      </c>
      <c r="M231" s="151">
        <v>41956</v>
      </c>
      <c r="N231" s="18">
        <f>399838/62000</f>
        <v>6.449</v>
      </c>
      <c r="O231" s="137">
        <f t="shared" si="14"/>
        <v>0.009768956427353079</v>
      </c>
    </row>
    <row r="232" spans="1:15" s="101" customFormat="1" ht="22.5">
      <c r="A232" s="6" t="s">
        <v>690</v>
      </c>
      <c r="B232" s="63" t="s">
        <v>306</v>
      </c>
      <c r="C232" s="13" t="s">
        <v>691</v>
      </c>
      <c r="D232" s="13" t="s">
        <v>692</v>
      </c>
      <c r="E232" s="13" t="s">
        <v>1012</v>
      </c>
      <c r="F232" s="3" t="s">
        <v>694</v>
      </c>
      <c r="G232" s="13" t="s">
        <v>693</v>
      </c>
      <c r="H232" s="36">
        <v>15</v>
      </c>
      <c r="I232" s="15">
        <v>6449000</v>
      </c>
      <c r="J232" s="15">
        <v>257960</v>
      </c>
      <c r="K232" s="26">
        <f t="shared" si="13"/>
        <v>0.04</v>
      </c>
      <c r="L232" s="151">
        <v>41716</v>
      </c>
      <c r="M232" s="151">
        <v>41758</v>
      </c>
      <c r="N232" s="18">
        <f>16380460/6449000</f>
        <v>2.54</v>
      </c>
      <c r="O232" s="137">
        <f t="shared" si="14"/>
        <v>0.015748031496062992</v>
      </c>
    </row>
    <row r="233" spans="1:15" s="101" customFormat="1" ht="22.5">
      <c r="A233" s="6" t="s">
        <v>695</v>
      </c>
      <c r="B233" s="63" t="s">
        <v>306</v>
      </c>
      <c r="C233" s="13" t="s">
        <v>691</v>
      </c>
      <c r="D233" s="13" t="s">
        <v>692</v>
      </c>
      <c r="E233" s="13" t="s">
        <v>1012</v>
      </c>
      <c r="F233" s="3" t="s">
        <v>694</v>
      </c>
      <c r="G233" s="13" t="s">
        <v>696</v>
      </c>
      <c r="H233" s="36">
        <v>15</v>
      </c>
      <c r="I233" s="15">
        <v>463000</v>
      </c>
      <c r="J233" s="15">
        <v>23150</v>
      </c>
      <c r="K233" s="26">
        <f t="shared" si="13"/>
        <v>0.05</v>
      </c>
      <c r="L233" s="151">
        <v>41716</v>
      </c>
      <c r="M233" s="151">
        <v>41758</v>
      </c>
      <c r="N233" s="18">
        <f>1176020/463000</f>
        <v>2.54</v>
      </c>
      <c r="O233" s="137">
        <f t="shared" si="14"/>
        <v>0.01968503937007874</v>
      </c>
    </row>
    <row r="234" spans="1:15" s="101" customFormat="1" ht="22.5">
      <c r="A234" s="6" t="s">
        <v>460</v>
      </c>
      <c r="B234" s="63" t="s">
        <v>306</v>
      </c>
      <c r="C234" s="13" t="s">
        <v>691</v>
      </c>
      <c r="D234" s="13" t="s">
        <v>692</v>
      </c>
      <c r="E234" s="13" t="s">
        <v>1012</v>
      </c>
      <c r="F234" s="3" t="s">
        <v>1107</v>
      </c>
      <c r="G234" s="13" t="s">
        <v>461</v>
      </c>
      <c r="H234" s="3">
        <v>15</v>
      </c>
      <c r="I234" s="15">
        <v>975780</v>
      </c>
      <c r="J234" s="15">
        <v>48789</v>
      </c>
      <c r="K234" s="26">
        <f t="shared" si="13"/>
        <v>0.05</v>
      </c>
      <c r="L234" s="151">
        <v>41914</v>
      </c>
      <c r="M234" s="151">
        <v>41956</v>
      </c>
      <c r="N234" s="18">
        <f>1619794.8/975780</f>
        <v>1.6600000000000001</v>
      </c>
      <c r="O234" s="137">
        <f t="shared" si="14"/>
        <v>0.030120481927710843</v>
      </c>
    </row>
    <row r="235" spans="1:15" s="101" customFormat="1" ht="33.75">
      <c r="A235" s="6" t="s">
        <v>921</v>
      </c>
      <c r="B235" s="63" t="s">
        <v>306</v>
      </c>
      <c r="C235" s="13" t="s">
        <v>1033</v>
      </c>
      <c r="D235" s="13" t="s">
        <v>1034</v>
      </c>
      <c r="E235" s="13" t="s">
        <v>1012</v>
      </c>
      <c r="F235" s="3" t="s">
        <v>1036</v>
      </c>
      <c r="G235" s="13" t="s">
        <v>922</v>
      </c>
      <c r="H235" s="36">
        <v>49</v>
      </c>
      <c r="I235" s="15">
        <v>1024500</v>
      </c>
      <c r="J235" s="15">
        <v>38316.3</v>
      </c>
      <c r="K235" s="26">
        <f>J235/I235</f>
        <v>0.0374</v>
      </c>
      <c r="L235" s="151">
        <v>41698</v>
      </c>
      <c r="M235" s="151">
        <v>41730</v>
      </c>
      <c r="N235" s="18">
        <f>3626730/1024500</f>
        <v>3.54</v>
      </c>
      <c r="O235" s="16">
        <f>K235/N235</f>
        <v>0.01056497175141243</v>
      </c>
    </row>
    <row r="236" spans="1:15" s="101" customFormat="1" ht="33.75">
      <c r="A236" s="6" t="s">
        <v>1032</v>
      </c>
      <c r="B236" s="63" t="s">
        <v>306</v>
      </c>
      <c r="C236" s="13" t="s">
        <v>1033</v>
      </c>
      <c r="D236" s="13" t="s">
        <v>1034</v>
      </c>
      <c r="E236" s="13" t="s">
        <v>1012</v>
      </c>
      <c r="F236" s="3" t="s">
        <v>1036</v>
      </c>
      <c r="G236" s="13" t="s">
        <v>1035</v>
      </c>
      <c r="H236" s="36">
        <v>49</v>
      </c>
      <c r="I236" s="15">
        <v>676000</v>
      </c>
      <c r="J236" s="12">
        <v>25282.4</v>
      </c>
      <c r="K236" s="26">
        <f>J236/I236</f>
        <v>0.0374</v>
      </c>
      <c r="L236" s="151">
        <v>41698</v>
      </c>
      <c r="M236" s="151">
        <v>41730</v>
      </c>
      <c r="N236" s="18">
        <f>2393040/676000</f>
        <v>3.54</v>
      </c>
      <c r="O236" s="16">
        <f>K236/N236</f>
        <v>0.01056497175141243</v>
      </c>
    </row>
    <row r="237" spans="1:15" s="101" customFormat="1" ht="11.25">
      <c r="A237" s="6"/>
      <c r="B237" s="63"/>
      <c r="C237" s="13"/>
      <c r="D237" s="13"/>
      <c r="E237" s="13"/>
      <c r="F237" s="3"/>
      <c r="G237" s="13"/>
      <c r="H237" s="3"/>
      <c r="I237" s="3"/>
      <c r="J237" s="3"/>
      <c r="K237" s="26"/>
      <c r="L237" s="151"/>
      <c r="M237" s="151"/>
      <c r="N237" s="18"/>
      <c r="O237" s="16"/>
    </row>
    <row r="238" spans="1:15" s="101" customFormat="1" ht="11.25">
      <c r="A238" s="6"/>
      <c r="B238" s="63"/>
      <c r="C238" s="13"/>
      <c r="D238" s="13"/>
      <c r="E238" s="13"/>
      <c r="F238" s="3"/>
      <c r="G238" s="13"/>
      <c r="H238" s="3"/>
      <c r="I238" s="3"/>
      <c r="J238" s="3"/>
      <c r="K238" s="26"/>
      <c r="L238" s="151"/>
      <c r="M238" s="151"/>
      <c r="N238" s="18"/>
      <c r="O238" s="16"/>
    </row>
    <row r="239" spans="1:15" s="101" customFormat="1" ht="11.25">
      <c r="A239" s="6"/>
      <c r="B239" s="63"/>
      <c r="C239" s="13"/>
      <c r="D239" s="13"/>
      <c r="E239" s="13"/>
      <c r="F239" s="3"/>
      <c r="G239" s="13"/>
      <c r="H239" s="3"/>
      <c r="I239" s="3"/>
      <c r="J239" s="3"/>
      <c r="K239" s="26"/>
      <c r="L239" s="151"/>
      <c r="M239" s="151"/>
      <c r="N239" s="18"/>
      <c r="O239" s="16"/>
    </row>
    <row r="240" spans="1:15" s="101" customFormat="1" ht="11.25">
      <c r="A240" s="6"/>
      <c r="B240" s="63"/>
      <c r="C240" s="13"/>
      <c r="D240" s="13"/>
      <c r="E240" s="13"/>
      <c r="F240" s="3"/>
      <c r="G240" s="13"/>
      <c r="H240" s="3"/>
      <c r="I240" s="3"/>
      <c r="J240" s="3"/>
      <c r="K240" s="26"/>
      <c r="L240" s="151"/>
      <c r="M240" s="151"/>
      <c r="N240" s="18"/>
      <c r="O240" s="16"/>
    </row>
    <row r="241" spans="1:15" s="101" customFormat="1" ht="11.25">
      <c r="A241" s="6"/>
      <c r="B241" s="63"/>
      <c r="C241" s="13"/>
      <c r="D241" s="13"/>
      <c r="E241" s="13"/>
      <c r="F241" s="3"/>
      <c r="G241" s="13"/>
      <c r="H241" s="3"/>
      <c r="I241" s="3"/>
      <c r="J241" s="3"/>
      <c r="K241" s="26"/>
      <c r="L241" s="151"/>
      <c r="M241" s="151"/>
      <c r="N241" s="18"/>
      <c r="O241" s="16"/>
    </row>
    <row r="242" spans="1:15" s="101" customFormat="1" ht="11.25">
      <c r="A242" s="6"/>
      <c r="B242" s="63"/>
      <c r="C242" s="13"/>
      <c r="D242" s="13"/>
      <c r="E242" s="13"/>
      <c r="F242" s="3"/>
      <c r="G242" s="13"/>
      <c r="H242" s="3"/>
      <c r="I242" s="3"/>
      <c r="J242" s="3"/>
      <c r="K242" s="26"/>
      <c r="L242" s="151"/>
      <c r="M242" s="151"/>
      <c r="N242" s="18"/>
      <c r="O242" s="16"/>
    </row>
    <row r="243" spans="1:15" s="101" customFormat="1" ht="12" thickBot="1">
      <c r="A243" s="7"/>
      <c r="B243" s="150"/>
      <c r="C243" s="34"/>
      <c r="D243" s="34"/>
      <c r="E243" s="34"/>
      <c r="F243" s="17"/>
      <c r="G243" s="34"/>
      <c r="H243" s="17"/>
      <c r="I243" s="17"/>
      <c r="J243" s="17"/>
      <c r="K243" s="35"/>
      <c r="L243" s="152"/>
      <c r="M243" s="152"/>
      <c r="N243" s="139"/>
      <c r="O243" s="20"/>
    </row>
    <row r="244" spans="1:15" s="101" customFormat="1" ht="11.25">
      <c r="A244" s="1"/>
      <c r="B244" s="1"/>
      <c r="C244" s="1"/>
      <c r="D244" s="1"/>
      <c r="E244" s="1"/>
      <c r="F244" s="4"/>
      <c r="G244" s="1"/>
      <c r="H244" s="4"/>
      <c r="I244" s="4"/>
      <c r="J244" s="4"/>
      <c r="K244" s="1"/>
      <c r="L244" s="4"/>
      <c r="M244" s="4"/>
      <c r="N244" s="30"/>
      <c r="O244" s="28"/>
    </row>
    <row r="245" spans="1:15" s="101" customFormat="1" ht="11.25">
      <c r="A245" s="1"/>
      <c r="B245" s="1"/>
      <c r="C245" s="1"/>
      <c r="D245" s="1"/>
      <c r="E245" s="1"/>
      <c r="F245" s="4"/>
      <c r="G245" s="1"/>
      <c r="H245" s="4"/>
      <c r="I245" s="4"/>
      <c r="J245" s="4"/>
      <c r="K245" s="1"/>
      <c r="L245" s="4"/>
      <c r="M245" s="4"/>
      <c r="N245" s="30"/>
      <c r="O245" s="28"/>
    </row>
    <row r="246" spans="1:15" s="101" customFormat="1" ht="11.25">
      <c r="A246" s="1"/>
      <c r="B246" s="1"/>
      <c r="C246" s="1"/>
      <c r="D246" s="1"/>
      <c r="E246" s="1"/>
      <c r="F246" s="4"/>
      <c r="G246" s="1"/>
      <c r="H246" s="4"/>
      <c r="I246" s="4"/>
      <c r="J246" s="4"/>
      <c r="K246" s="1"/>
      <c r="L246" s="4"/>
      <c r="M246" s="4"/>
      <c r="N246" s="30"/>
      <c r="O246" s="28"/>
    </row>
    <row r="247" spans="1:15" s="101" customFormat="1" ht="11.25">
      <c r="A247" s="1"/>
      <c r="B247" s="1"/>
      <c r="C247" s="1"/>
      <c r="D247" s="1"/>
      <c r="E247" s="1"/>
      <c r="F247" s="4"/>
      <c r="G247" s="1"/>
      <c r="H247" s="4"/>
      <c r="I247" s="4"/>
      <c r="J247" s="4"/>
      <c r="K247" s="1"/>
      <c r="L247" s="4"/>
      <c r="M247" s="4"/>
      <c r="N247" s="30"/>
      <c r="O247" s="28"/>
    </row>
    <row r="248" spans="1:15" s="101" customFormat="1" ht="11.25">
      <c r="A248" s="1"/>
      <c r="B248" s="1"/>
      <c r="C248" s="1"/>
      <c r="D248" s="1"/>
      <c r="E248" s="1"/>
      <c r="F248" s="4"/>
      <c r="G248" s="1"/>
      <c r="H248" s="4"/>
      <c r="I248" s="4"/>
      <c r="J248" s="4"/>
      <c r="K248" s="1"/>
      <c r="L248" s="4"/>
      <c r="M248" s="4"/>
      <c r="N248" s="30"/>
      <c r="O248" s="28"/>
    </row>
    <row r="249" spans="1:15" s="101" customFormat="1" ht="11.25">
      <c r="A249" s="1"/>
      <c r="B249" s="1"/>
      <c r="C249" s="1"/>
      <c r="D249" s="1"/>
      <c r="E249" s="1"/>
      <c r="F249" s="4"/>
      <c r="G249" s="1"/>
      <c r="H249" s="4"/>
      <c r="I249" s="4"/>
      <c r="J249" s="4"/>
      <c r="K249" s="1"/>
      <c r="L249" s="4"/>
      <c r="M249" s="4"/>
      <c r="N249" s="30"/>
      <c r="O249" s="28"/>
    </row>
    <row r="250" spans="1:15" s="101" customFormat="1" ht="11.25">
      <c r="A250" s="1"/>
      <c r="B250" s="1"/>
      <c r="C250" s="1"/>
      <c r="D250" s="1"/>
      <c r="E250" s="1"/>
      <c r="F250" s="4"/>
      <c r="G250" s="1"/>
      <c r="H250" s="4"/>
      <c r="I250" s="4"/>
      <c r="J250" s="4"/>
      <c r="K250" s="1"/>
      <c r="L250" s="4"/>
      <c r="M250" s="4"/>
      <c r="N250" s="30"/>
      <c r="O250" s="28"/>
    </row>
    <row r="251" spans="1:15" s="101" customFormat="1" ht="11.25">
      <c r="A251" s="1"/>
      <c r="B251" s="1"/>
      <c r="C251" s="1"/>
      <c r="D251" s="1"/>
      <c r="E251" s="1"/>
      <c r="F251" s="4"/>
      <c r="G251" s="1"/>
      <c r="H251" s="4"/>
      <c r="I251" s="4"/>
      <c r="J251" s="4"/>
      <c r="K251" s="1"/>
      <c r="L251" s="4"/>
      <c r="M251" s="4"/>
      <c r="N251" s="30"/>
      <c r="O251" s="28"/>
    </row>
    <row r="252" spans="1:15" s="101" customFormat="1" ht="11.25">
      <c r="A252" s="1"/>
      <c r="B252" s="1"/>
      <c r="C252" s="1"/>
      <c r="D252" s="1"/>
      <c r="E252" s="1"/>
      <c r="F252" s="4"/>
      <c r="G252" s="1"/>
      <c r="H252" s="4"/>
      <c r="I252" s="4"/>
      <c r="J252" s="4"/>
      <c r="K252" s="1"/>
      <c r="L252" s="4"/>
      <c r="M252" s="4"/>
      <c r="N252" s="30"/>
      <c r="O252" s="28"/>
    </row>
    <row r="253" spans="1:15" s="101" customFormat="1" ht="11.25">
      <c r="A253" s="1"/>
      <c r="B253" s="1"/>
      <c r="C253" s="1"/>
      <c r="D253" s="1"/>
      <c r="E253" s="1"/>
      <c r="F253" s="4"/>
      <c r="G253" s="1"/>
      <c r="H253" s="4"/>
      <c r="I253" s="4"/>
      <c r="J253" s="4"/>
      <c r="K253" s="1"/>
      <c r="L253" s="4"/>
      <c r="M253" s="4"/>
      <c r="N253" s="30"/>
      <c r="O253" s="28"/>
    </row>
    <row r="254" spans="1:15" s="101" customFormat="1" ht="11.25">
      <c r="A254" s="1"/>
      <c r="B254" s="1"/>
      <c r="C254" s="1"/>
      <c r="D254" s="1"/>
      <c r="E254" s="1"/>
      <c r="F254" s="4"/>
      <c r="G254" s="1"/>
      <c r="H254" s="4"/>
      <c r="I254" s="4"/>
      <c r="J254" s="4"/>
      <c r="K254" s="1"/>
      <c r="L254" s="4"/>
      <c r="M254" s="4"/>
      <c r="N254" s="30"/>
      <c r="O254" s="28"/>
    </row>
    <row r="255" spans="1:15" s="101" customFormat="1" ht="11.25">
      <c r="A255" s="1"/>
      <c r="B255" s="1"/>
      <c r="C255" s="1"/>
      <c r="D255" s="1"/>
      <c r="E255" s="1"/>
      <c r="F255" s="4"/>
      <c r="G255" s="1"/>
      <c r="H255" s="4"/>
      <c r="I255" s="4"/>
      <c r="J255" s="4"/>
      <c r="K255" s="1"/>
      <c r="L255" s="4"/>
      <c r="M255" s="4"/>
      <c r="N255" s="30"/>
      <c r="O255" s="28"/>
    </row>
    <row r="256" spans="1:15" s="101" customFormat="1" ht="11.25">
      <c r="A256" s="1"/>
      <c r="B256" s="1"/>
      <c r="C256" s="1"/>
      <c r="D256" s="1"/>
      <c r="E256" s="1"/>
      <c r="F256" s="4"/>
      <c r="G256" s="1"/>
      <c r="H256" s="4"/>
      <c r="I256" s="4"/>
      <c r="J256" s="4"/>
      <c r="K256" s="1"/>
      <c r="L256" s="4"/>
      <c r="M256" s="4"/>
      <c r="N256" s="30"/>
      <c r="O256" s="28"/>
    </row>
    <row r="257" spans="1:15" s="101" customFormat="1" ht="11.25">
      <c r="A257" s="1"/>
      <c r="B257" s="1"/>
      <c r="C257" s="1"/>
      <c r="D257" s="1"/>
      <c r="E257" s="1"/>
      <c r="F257" s="4"/>
      <c r="G257" s="1"/>
      <c r="H257" s="4"/>
      <c r="I257" s="4"/>
      <c r="J257" s="4"/>
      <c r="K257" s="1"/>
      <c r="L257" s="4"/>
      <c r="M257" s="4"/>
      <c r="N257" s="30"/>
      <c r="O257" s="28"/>
    </row>
    <row r="258" spans="1:15" s="101" customFormat="1" ht="11.25">
      <c r="A258" s="1"/>
      <c r="B258" s="1"/>
      <c r="C258" s="1"/>
      <c r="D258" s="1"/>
      <c r="E258" s="1"/>
      <c r="F258" s="4"/>
      <c r="G258" s="1"/>
      <c r="H258" s="4"/>
      <c r="I258" s="4"/>
      <c r="J258" s="4"/>
      <c r="K258" s="1"/>
      <c r="L258" s="4"/>
      <c r="M258" s="4"/>
      <c r="N258" s="30"/>
      <c r="O258" s="28"/>
    </row>
    <row r="259" spans="1:15" s="101" customFormat="1" ht="11.25">
      <c r="A259" s="1"/>
      <c r="B259" s="1"/>
      <c r="C259" s="1"/>
      <c r="D259" s="1"/>
      <c r="E259" s="1"/>
      <c r="F259" s="4"/>
      <c r="G259" s="1"/>
      <c r="H259" s="4"/>
      <c r="I259" s="4"/>
      <c r="J259" s="4"/>
      <c r="K259" s="1"/>
      <c r="L259" s="4"/>
      <c r="M259" s="4"/>
      <c r="N259" s="30"/>
      <c r="O259" s="28"/>
    </row>
    <row r="260" spans="1:15" s="101" customFormat="1" ht="11.25">
      <c r="A260" s="1"/>
      <c r="B260" s="1"/>
      <c r="C260" s="1"/>
      <c r="D260" s="1"/>
      <c r="E260" s="1"/>
      <c r="F260" s="4"/>
      <c r="G260" s="1"/>
      <c r="H260" s="4"/>
      <c r="I260" s="4"/>
      <c r="J260" s="4"/>
      <c r="K260" s="1"/>
      <c r="L260" s="4"/>
      <c r="M260" s="4"/>
      <c r="N260" s="30"/>
      <c r="O260" s="28"/>
    </row>
    <row r="261" spans="1:15" s="101" customFormat="1" ht="11.25">
      <c r="A261" s="1"/>
      <c r="B261" s="1"/>
      <c r="C261" s="1"/>
      <c r="D261" s="1"/>
      <c r="E261" s="1"/>
      <c r="F261" s="4"/>
      <c r="G261" s="1"/>
      <c r="H261" s="4"/>
      <c r="I261" s="4"/>
      <c r="J261" s="4"/>
      <c r="K261" s="1"/>
      <c r="L261" s="4"/>
      <c r="M261" s="4"/>
      <c r="N261" s="30"/>
      <c r="O261" s="28"/>
    </row>
    <row r="262" spans="1:15" s="101" customFormat="1" ht="11.25">
      <c r="A262" s="1"/>
      <c r="B262" s="1"/>
      <c r="C262" s="1"/>
      <c r="D262" s="1"/>
      <c r="E262" s="1"/>
      <c r="F262" s="4"/>
      <c r="G262" s="1"/>
      <c r="H262" s="4"/>
      <c r="I262" s="4"/>
      <c r="J262" s="4"/>
      <c r="K262" s="1"/>
      <c r="L262" s="4"/>
      <c r="M262" s="4"/>
      <c r="N262" s="30"/>
      <c r="O262" s="28"/>
    </row>
    <row r="263" spans="1:15" s="101" customFormat="1" ht="11.25">
      <c r="A263" s="1"/>
      <c r="B263" s="1"/>
      <c r="C263" s="1"/>
      <c r="D263" s="1"/>
      <c r="E263" s="1"/>
      <c r="F263" s="4"/>
      <c r="G263" s="1"/>
      <c r="H263" s="4"/>
      <c r="I263" s="4"/>
      <c r="J263" s="4"/>
      <c r="K263" s="1"/>
      <c r="L263" s="4"/>
      <c r="M263" s="4"/>
      <c r="N263" s="30"/>
      <c r="O263" s="28"/>
    </row>
    <row r="264" spans="1:15" s="101" customFormat="1" ht="11.25">
      <c r="A264" s="1"/>
      <c r="B264" s="1"/>
      <c r="C264" s="1"/>
      <c r="D264" s="1"/>
      <c r="E264" s="1"/>
      <c r="F264" s="4"/>
      <c r="G264" s="1"/>
      <c r="H264" s="4"/>
      <c r="I264" s="4"/>
      <c r="J264" s="4"/>
      <c r="K264" s="1"/>
      <c r="L264" s="4"/>
      <c r="M264" s="4"/>
      <c r="N264" s="30"/>
      <c r="O264" s="28"/>
    </row>
    <row r="265" spans="1:15" s="101" customFormat="1" ht="11.25">
      <c r="A265" s="1"/>
      <c r="B265" s="1"/>
      <c r="C265" s="1"/>
      <c r="D265" s="1"/>
      <c r="E265" s="1"/>
      <c r="F265" s="4"/>
      <c r="G265" s="1"/>
      <c r="H265" s="4"/>
      <c r="I265" s="4"/>
      <c r="J265" s="4"/>
      <c r="K265" s="1"/>
      <c r="L265" s="4"/>
      <c r="M265" s="4"/>
      <c r="N265" s="30"/>
      <c r="O265" s="28"/>
    </row>
    <row r="266" spans="1:15" s="101" customFormat="1" ht="11.25">
      <c r="A266" s="1"/>
      <c r="B266" s="1"/>
      <c r="C266" s="1"/>
      <c r="D266" s="1"/>
      <c r="E266" s="1"/>
      <c r="F266" s="4"/>
      <c r="G266" s="1"/>
      <c r="H266" s="4"/>
      <c r="I266" s="4"/>
      <c r="J266" s="4"/>
      <c r="K266" s="1"/>
      <c r="L266" s="4"/>
      <c r="M266" s="4"/>
      <c r="N266" s="30"/>
      <c r="O266" s="28"/>
    </row>
    <row r="267" spans="1:15" s="101" customFormat="1" ht="11.25">
      <c r="A267" s="1"/>
      <c r="B267" s="1"/>
      <c r="C267" s="1"/>
      <c r="D267" s="1"/>
      <c r="E267" s="1"/>
      <c r="F267" s="4"/>
      <c r="G267" s="1"/>
      <c r="H267" s="4"/>
      <c r="I267" s="4"/>
      <c r="J267" s="4"/>
      <c r="K267" s="1"/>
      <c r="L267" s="4"/>
      <c r="M267" s="4"/>
      <c r="N267" s="30"/>
      <c r="O267" s="28"/>
    </row>
    <row r="268" spans="1:15" s="101" customFormat="1" ht="11.25">
      <c r="A268" s="1"/>
      <c r="B268" s="1"/>
      <c r="C268" s="1"/>
      <c r="D268" s="1"/>
      <c r="E268" s="1"/>
      <c r="F268" s="4"/>
      <c r="G268" s="1"/>
      <c r="H268" s="4"/>
      <c r="I268" s="4"/>
      <c r="J268" s="4"/>
      <c r="K268" s="1"/>
      <c r="L268" s="4"/>
      <c r="M268" s="4"/>
      <c r="N268" s="30"/>
      <c r="O268" s="28"/>
    </row>
    <row r="269" spans="1:15" s="101" customFormat="1" ht="11.25">
      <c r="A269" s="1"/>
      <c r="B269" s="1"/>
      <c r="C269" s="1"/>
      <c r="D269" s="1"/>
      <c r="E269" s="1"/>
      <c r="F269" s="4"/>
      <c r="G269" s="1"/>
      <c r="H269" s="4"/>
      <c r="I269" s="4"/>
      <c r="J269" s="4"/>
      <c r="K269" s="1"/>
      <c r="L269" s="4"/>
      <c r="M269" s="4"/>
      <c r="N269" s="30"/>
      <c r="O269" s="28"/>
    </row>
    <row r="270" spans="1:15" s="101" customFormat="1" ht="11.25">
      <c r="A270" s="1"/>
      <c r="B270" s="1"/>
      <c r="C270" s="1"/>
      <c r="D270" s="1"/>
      <c r="E270" s="1"/>
      <c r="F270" s="4"/>
      <c r="G270" s="1"/>
      <c r="H270" s="4"/>
      <c r="I270" s="4"/>
      <c r="J270" s="4"/>
      <c r="K270" s="1"/>
      <c r="L270" s="4"/>
      <c r="M270" s="4"/>
      <c r="N270" s="30"/>
      <c r="O270" s="28"/>
    </row>
    <row r="271" spans="1:15" s="101" customFormat="1" ht="11.25">
      <c r="A271" s="1"/>
      <c r="B271" s="1"/>
      <c r="C271" s="1"/>
      <c r="D271" s="1"/>
      <c r="E271" s="1"/>
      <c r="F271" s="4"/>
      <c r="G271" s="1"/>
      <c r="H271" s="4"/>
      <c r="I271" s="4"/>
      <c r="J271" s="4"/>
      <c r="K271" s="1"/>
      <c r="L271" s="4"/>
      <c r="M271" s="4"/>
      <c r="N271" s="30"/>
      <c r="O271" s="28"/>
    </row>
    <row r="272" spans="1:15" s="101" customFormat="1" ht="11.25">
      <c r="A272" s="1"/>
      <c r="B272" s="1"/>
      <c r="C272" s="1"/>
      <c r="D272" s="1"/>
      <c r="E272" s="1"/>
      <c r="F272" s="4"/>
      <c r="G272" s="1"/>
      <c r="H272" s="4"/>
      <c r="I272" s="4"/>
      <c r="J272" s="4"/>
      <c r="K272" s="1"/>
      <c r="L272" s="4"/>
      <c r="M272" s="4"/>
      <c r="N272" s="30"/>
      <c r="O272" s="28"/>
    </row>
    <row r="273" spans="1:15" s="101" customFormat="1" ht="11.25">
      <c r="A273" s="1"/>
      <c r="B273" s="1"/>
      <c r="C273" s="1"/>
      <c r="D273" s="1"/>
      <c r="E273" s="1"/>
      <c r="F273" s="4"/>
      <c r="G273" s="1"/>
      <c r="H273" s="4"/>
      <c r="I273" s="4"/>
      <c r="J273" s="4"/>
      <c r="K273" s="1"/>
      <c r="L273" s="4"/>
      <c r="M273" s="4"/>
      <c r="N273" s="30"/>
      <c r="O273" s="28"/>
    </row>
    <row r="274" spans="1:15" s="101" customFormat="1" ht="11.25">
      <c r="A274" s="1"/>
      <c r="B274" s="1"/>
      <c r="C274" s="1"/>
      <c r="D274" s="1"/>
      <c r="E274" s="1"/>
      <c r="F274" s="4"/>
      <c r="G274" s="1"/>
      <c r="H274" s="4"/>
      <c r="I274" s="4"/>
      <c r="J274" s="4"/>
      <c r="K274" s="1"/>
      <c r="L274" s="4"/>
      <c r="M274" s="4"/>
      <c r="N274" s="30"/>
      <c r="O274" s="28"/>
    </row>
    <row r="275" spans="1:15" s="101" customFormat="1" ht="11.25">
      <c r="A275" s="1"/>
      <c r="B275" s="1"/>
      <c r="C275" s="1"/>
      <c r="D275" s="1"/>
      <c r="E275" s="1"/>
      <c r="F275" s="4"/>
      <c r="G275" s="1"/>
      <c r="H275" s="4"/>
      <c r="I275" s="4"/>
      <c r="J275" s="4"/>
      <c r="K275" s="1"/>
      <c r="L275" s="4"/>
      <c r="M275" s="4"/>
      <c r="N275" s="30"/>
      <c r="O275" s="28"/>
    </row>
    <row r="276" spans="1:15" s="101" customFormat="1" ht="11.25">
      <c r="A276" s="1"/>
      <c r="B276" s="1"/>
      <c r="C276" s="1"/>
      <c r="D276" s="1"/>
      <c r="E276" s="1"/>
      <c r="F276" s="4"/>
      <c r="G276" s="1"/>
      <c r="H276" s="4"/>
      <c r="I276" s="4"/>
      <c r="J276" s="4"/>
      <c r="K276" s="1"/>
      <c r="L276" s="4"/>
      <c r="M276" s="4"/>
      <c r="N276" s="30"/>
      <c r="O276" s="28"/>
    </row>
    <row r="277" spans="1:15" s="101" customFormat="1" ht="15.75">
      <c r="A277" s="78" t="s">
        <v>120</v>
      </c>
      <c r="C277" s="1"/>
      <c r="D277" s="1"/>
      <c r="E277" s="1"/>
      <c r="F277" s="4"/>
      <c r="G277" s="1"/>
      <c r="H277" s="4"/>
      <c r="I277" s="4"/>
      <c r="J277" s="4"/>
      <c r="K277" s="1"/>
      <c r="L277" s="4"/>
      <c r="M277" s="4"/>
      <c r="N277" s="30"/>
      <c r="O277" s="28"/>
    </row>
    <row r="278" spans="1:16" s="101" customFormat="1" ht="45">
      <c r="A278" s="6" t="s">
        <v>623</v>
      </c>
      <c r="B278" s="63" t="s">
        <v>306</v>
      </c>
      <c r="C278" s="13" t="s">
        <v>624</v>
      </c>
      <c r="D278" s="13" t="s">
        <v>625</v>
      </c>
      <c r="E278" s="13" t="s">
        <v>1012</v>
      </c>
      <c r="F278" s="3" t="s">
        <v>626</v>
      </c>
      <c r="G278" s="13" t="s">
        <v>627</v>
      </c>
      <c r="H278" s="3">
        <v>5</v>
      </c>
      <c r="I278" s="15">
        <v>10000</v>
      </c>
      <c r="J278" s="15">
        <v>3500</v>
      </c>
      <c r="K278" s="26">
        <f aca="true" t="shared" si="15" ref="K278:K292">J278/I278</f>
        <v>0.35</v>
      </c>
      <c r="L278" s="151">
        <v>41934</v>
      </c>
      <c r="M278" s="151">
        <v>41975</v>
      </c>
      <c r="N278" s="18">
        <f>7900/10000</f>
        <v>0.79</v>
      </c>
      <c r="O278" s="141">
        <f aca="true" t="shared" si="16" ref="O278:O292">K278/N278</f>
        <v>0.4430379746835443</v>
      </c>
      <c r="P278" s="57"/>
    </row>
    <row r="279" spans="1:16" s="101" customFormat="1" ht="45">
      <c r="A279" s="6" t="s">
        <v>628</v>
      </c>
      <c r="B279" s="63" t="s">
        <v>306</v>
      </c>
      <c r="C279" s="13" t="s">
        <v>624</v>
      </c>
      <c r="D279" s="13" t="s">
        <v>629</v>
      </c>
      <c r="E279" s="13" t="s">
        <v>1012</v>
      </c>
      <c r="F279" s="3" t="s">
        <v>626</v>
      </c>
      <c r="G279" s="13" t="s">
        <v>630</v>
      </c>
      <c r="H279" s="3">
        <v>5</v>
      </c>
      <c r="I279" s="15">
        <v>37677</v>
      </c>
      <c r="J279" s="15">
        <v>13300</v>
      </c>
      <c r="K279" s="26">
        <f t="shared" si="15"/>
        <v>0.3530005042864347</v>
      </c>
      <c r="L279" s="151">
        <v>41934</v>
      </c>
      <c r="M279" s="151">
        <v>41975</v>
      </c>
      <c r="N279" s="18">
        <f>29764.83/37677</f>
        <v>0.79</v>
      </c>
      <c r="O279" s="141">
        <f t="shared" si="16"/>
        <v>0.4468360813752338</v>
      </c>
      <c r="P279" s="57"/>
    </row>
    <row r="280" spans="1:16" s="101" customFormat="1" ht="22.5">
      <c r="A280" s="6" t="s">
        <v>1167</v>
      </c>
      <c r="B280" s="63" t="s">
        <v>306</v>
      </c>
      <c r="C280" s="13" t="s">
        <v>1168</v>
      </c>
      <c r="D280" s="13" t="s">
        <v>1169</v>
      </c>
      <c r="E280" s="13" t="s">
        <v>1012</v>
      </c>
      <c r="F280" s="3" t="s">
        <v>1107</v>
      </c>
      <c r="G280" s="13" t="s">
        <v>1170</v>
      </c>
      <c r="H280" s="58">
        <v>4</v>
      </c>
      <c r="I280" s="15">
        <v>368000</v>
      </c>
      <c r="J280" s="15">
        <v>26000</v>
      </c>
      <c r="K280" s="26">
        <f t="shared" si="15"/>
        <v>0.07065217391304347</v>
      </c>
      <c r="L280" s="151">
        <v>41857</v>
      </c>
      <c r="M280" s="151">
        <v>41891</v>
      </c>
      <c r="N280" s="18">
        <f>2138080/368000</f>
        <v>5.81</v>
      </c>
      <c r="O280" s="137">
        <f t="shared" si="16"/>
        <v>0.012160443014293197</v>
      </c>
      <c r="P280" s="57"/>
    </row>
    <row r="281" spans="1:15" s="101" customFormat="1" ht="22.5">
      <c r="A281" s="6" t="s">
        <v>58</v>
      </c>
      <c r="B281" s="63" t="s">
        <v>306</v>
      </c>
      <c r="C281" s="13" t="s">
        <v>8</v>
      </c>
      <c r="D281" s="13" t="s">
        <v>59</v>
      </c>
      <c r="E281" s="13" t="s">
        <v>1012</v>
      </c>
      <c r="F281" s="3" t="s">
        <v>1006</v>
      </c>
      <c r="G281" s="13" t="s">
        <v>60</v>
      </c>
      <c r="H281" s="3">
        <v>3</v>
      </c>
      <c r="I281" s="15">
        <v>160000</v>
      </c>
      <c r="J281" s="15">
        <v>46400</v>
      </c>
      <c r="K281" s="26">
        <f t="shared" si="15"/>
        <v>0.29</v>
      </c>
      <c r="L281" s="151">
        <v>41969</v>
      </c>
      <c r="M281" s="151">
        <v>42002</v>
      </c>
      <c r="N281" s="18">
        <f>652800/160000</f>
        <v>4.08</v>
      </c>
      <c r="O281" s="141">
        <f t="shared" si="16"/>
        <v>0.07107843137254902</v>
      </c>
    </row>
    <row r="282" spans="1:16" s="101" customFormat="1" ht="33.75">
      <c r="A282" s="6" t="s">
        <v>785</v>
      </c>
      <c r="B282" s="63" t="s">
        <v>306</v>
      </c>
      <c r="C282" s="13" t="s">
        <v>786</v>
      </c>
      <c r="D282" s="13" t="s">
        <v>787</v>
      </c>
      <c r="E282" s="13" t="s">
        <v>1012</v>
      </c>
      <c r="F282" s="3" t="s">
        <v>1008</v>
      </c>
      <c r="G282" s="13" t="s">
        <v>788</v>
      </c>
      <c r="H282" s="36">
        <v>15</v>
      </c>
      <c r="I282" s="15">
        <v>749000</v>
      </c>
      <c r="J282" s="15">
        <v>157571</v>
      </c>
      <c r="K282" s="26">
        <f t="shared" si="15"/>
        <v>0.2103751668891856</v>
      </c>
      <c r="L282" s="151">
        <v>41753</v>
      </c>
      <c r="M282" s="151">
        <v>41785</v>
      </c>
      <c r="N282" s="18">
        <f>2838710/749000</f>
        <v>3.79</v>
      </c>
      <c r="O282" s="141">
        <f t="shared" si="16"/>
        <v>0.05550795960136823</v>
      </c>
      <c r="P282" s="57"/>
    </row>
    <row r="283" spans="1:16" s="101" customFormat="1" ht="22.5">
      <c r="A283" s="6" t="s">
        <v>911</v>
      </c>
      <c r="B283" s="63" t="s">
        <v>306</v>
      </c>
      <c r="C283" s="13" t="s">
        <v>224</v>
      </c>
      <c r="D283" s="13" t="s">
        <v>912</v>
      </c>
      <c r="E283" s="13" t="s">
        <v>1012</v>
      </c>
      <c r="F283" s="3" t="s">
        <v>1008</v>
      </c>
      <c r="G283" s="13" t="s">
        <v>913</v>
      </c>
      <c r="H283" s="36">
        <v>5</v>
      </c>
      <c r="I283" s="15">
        <v>1948200</v>
      </c>
      <c r="J283" s="15">
        <v>623424</v>
      </c>
      <c r="K283" s="26">
        <f t="shared" si="15"/>
        <v>0.32</v>
      </c>
      <c r="L283" s="151">
        <v>41817</v>
      </c>
      <c r="M283" s="151">
        <v>41848</v>
      </c>
      <c r="N283" s="18">
        <f>8591562/1948200</f>
        <v>4.41</v>
      </c>
      <c r="O283" s="141">
        <f t="shared" si="16"/>
        <v>0.07256235827664399</v>
      </c>
      <c r="P283" s="57"/>
    </row>
    <row r="284" spans="1:16" s="101" customFormat="1" ht="33.75">
      <c r="A284" s="6" t="s">
        <v>793</v>
      </c>
      <c r="B284" s="63" t="s">
        <v>306</v>
      </c>
      <c r="C284" s="13" t="s">
        <v>786</v>
      </c>
      <c r="D284" s="13" t="s">
        <v>787</v>
      </c>
      <c r="E284" s="13" t="s">
        <v>1012</v>
      </c>
      <c r="F284" s="3" t="s">
        <v>1008</v>
      </c>
      <c r="G284" s="13" t="s">
        <v>794</v>
      </c>
      <c r="H284" s="36">
        <v>15</v>
      </c>
      <c r="I284" s="15">
        <v>1439753</v>
      </c>
      <c r="J284" s="15">
        <v>201960</v>
      </c>
      <c r="K284" s="26">
        <f t="shared" si="15"/>
        <v>0.1402740608979457</v>
      </c>
      <c r="L284" s="151">
        <v>41753</v>
      </c>
      <c r="M284" s="151">
        <v>41785</v>
      </c>
      <c r="N284" s="18">
        <f>2649145.52/1439753</f>
        <v>1.84</v>
      </c>
      <c r="O284" s="141">
        <f t="shared" si="16"/>
        <v>0.07623590266192701</v>
      </c>
      <c r="P284" s="57"/>
    </row>
    <row r="285" spans="1:15" s="101" customFormat="1" ht="33.75">
      <c r="A285" s="6" t="s">
        <v>955</v>
      </c>
      <c r="B285" s="63" t="s">
        <v>306</v>
      </c>
      <c r="C285" s="13" t="s">
        <v>786</v>
      </c>
      <c r="D285" s="13" t="s">
        <v>951</v>
      </c>
      <c r="E285" s="13" t="s">
        <v>1012</v>
      </c>
      <c r="F285" s="3" t="s">
        <v>1008</v>
      </c>
      <c r="G285" s="13" t="s">
        <v>956</v>
      </c>
      <c r="H285" s="36">
        <v>15</v>
      </c>
      <c r="I285" s="15">
        <v>377361</v>
      </c>
      <c r="J285" s="15">
        <v>155677.5</v>
      </c>
      <c r="K285" s="26">
        <f t="shared" si="15"/>
        <v>0.4125426315914999</v>
      </c>
      <c r="L285" s="151">
        <v>41668</v>
      </c>
      <c r="M285" s="151">
        <v>41698</v>
      </c>
      <c r="N285" s="18">
        <f>1430198.19/377361</f>
        <v>3.79</v>
      </c>
      <c r="O285" s="141">
        <f t="shared" si="16"/>
        <v>0.10885029857295511</v>
      </c>
    </row>
    <row r="286" spans="1:15" s="101" customFormat="1" ht="33.75">
      <c r="A286" s="6" t="s">
        <v>953</v>
      </c>
      <c r="B286" s="63" t="s">
        <v>306</v>
      </c>
      <c r="C286" s="13" t="s">
        <v>786</v>
      </c>
      <c r="D286" s="13" t="s">
        <v>951</v>
      </c>
      <c r="E286" s="13" t="s">
        <v>1012</v>
      </c>
      <c r="F286" s="3" t="s">
        <v>1008</v>
      </c>
      <c r="G286" s="13" t="s">
        <v>954</v>
      </c>
      <c r="H286" s="36">
        <v>15</v>
      </c>
      <c r="I286" s="15">
        <v>243958</v>
      </c>
      <c r="J286" s="15">
        <v>140910</v>
      </c>
      <c r="K286" s="26">
        <f t="shared" si="15"/>
        <v>0.5775994228514745</v>
      </c>
      <c r="L286" s="151">
        <v>41668</v>
      </c>
      <c r="M286" s="151">
        <v>41698</v>
      </c>
      <c r="N286" s="18">
        <f>924600.82/243958</f>
        <v>3.7899999999999996</v>
      </c>
      <c r="O286" s="141">
        <f t="shared" si="16"/>
        <v>0.15240090312703813</v>
      </c>
    </row>
    <row r="287" spans="1:15" s="101" customFormat="1" ht="33.75">
      <c r="A287" s="6" t="s">
        <v>797</v>
      </c>
      <c r="B287" s="63" t="s">
        <v>306</v>
      </c>
      <c r="C287" s="13" t="s">
        <v>786</v>
      </c>
      <c r="D287" s="13" t="s">
        <v>787</v>
      </c>
      <c r="E287" s="13" t="s">
        <v>1012</v>
      </c>
      <c r="F287" s="3" t="s">
        <v>1008</v>
      </c>
      <c r="G287" s="13" t="s">
        <v>798</v>
      </c>
      <c r="H287" s="36">
        <v>15</v>
      </c>
      <c r="I287" s="15">
        <v>187505</v>
      </c>
      <c r="J287" s="15">
        <v>109535</v>
      </c>
      <c r="K287" s="26">
        <f t="shared" si="15"/>
        <v>0.5841710887709661</v>
      </c>
      <c r="L287" s="151">
        <v>41753</v>
      </c>
      <c r="M287" s="151">
        <v>41785</v>
      </c>
      <c r="N287" s="18">
        <f>703143.75/187505</f>
        <v>3.75</v>
      </c>
      <c r="O287" s="141">
        <f t="shared" si="16"/>
        <v>0.15577895700559097</v>
      </c>
    </row>
    <row r="288" spans="1:16" s="101" customFormat="1" ht="33.75">
      <c r="A288" s="6" t="s">
        <v>950</v>
      </c>
      <c r="B288" s="63" t="s">
        <v>306</v>
      </c>
      <c r="C288" s="13" t="s">
        <v>786</v>
      </c>
      <c r="D288" s="13" t="s">
        <v>951</v>
      </c>
      <c r="E288" s="13" t="s">
        <v>1012</v>
      </c>
      <c r="F288" s="3" t="s">
        <v>1008</v>
      </c>
      <c r="G288" s="13" t="s">
        <v>952</v>
      </c>
      <c r="H288" s="36">
        <v>15</v>
      </c>
      <c r="I288" s="15">
        <v>228028</v>
      </c>
      <c r="J288" s="15">
        <v>137857.5</v>
      </c>
      <c r="K288" s="26">
        <f t="shared" si="15"/>
        <v>0.6045639132036417</v>
      </c>
      <c r="L288" s="151">
        <v>41668</v>
      </c>
      <c r="M288" s="151">
        <v>41698</v>
      </c>
      <c r="N288" s="18">
        <f>864226.12/228028</f>
        <v>3.79</v>
      </c>
      <c r="O288" s="141">
        <f t="shared" si="16"/>
        <v>0.1595155443809081</v>
      </c>
      <c r="P288" s="57"/>
    </row>
    <row r="289" spans="1:16" s="101" customFormat="1" ht="33.75">
      <c r="A289" s="6" t="s">
        <v>65</v>
      </c>
      <c r="B289" s="63" t="s">
        <v>306</v>
      </c>
      <c r="C289" s="13" t="s">
        <v>224</v>
      </c>
      <c r="D289" s="13" t="s">
        <v>63</v>
      </c>
      <c r="E289" s="13" t="s">
        <v>1012</v>
      </c>
      <c r="F289" s="3" t="s">
        <v>64</v>
      </c>
      <c r="G289" s="13" t="s">
        <v>66</v>
      </c>
      <c r="H289" s="3">
        <v>5</v>
      </c>
      <c r="I289" s="15">
        <v>4373200</v>
      </c>
      <c r="J289" s="15">
        <v>655846</v>
      </c>
      <c r="K289" s="26">
        <f t="shared" si="15"/>
        <v>0.1499693588219153</v>
      </c>
      <c r="L289" s="151">
        <v>41970</v>
      </c>
      <c r="M289" s="151">
        <v>42002</v>
      </c>
      <c r="N289" s="18">
        <f>5379036/4373200</f>
        <v>1.23</v>
      </c>
      <c r="O289" s="141">
        <f t="shared" si="16"/>
        <v>0.12192630798529701</v>
      </c>
      <c r="P289" s="57"/>
    </row>
    <row r="290" spans="1:16" s="101" customFormat="1" ht="33.75">
      <c r="A290" s="6" t="s">
        <v>999</v>
      </c>
      <c r="B290" s="13" t="s">
        <v>306</v>
      </c>
      <c r="C290" s="13" t="s">
        <v>168</v>
      </c>
      <c r="D290" s="13" t="s">
        <v>1000</v>
      </c>
      <c r="E290" s="13" t="s">
        <v>1012</v>
      </c>
      <c r="F290" s="3" t="s">
        <v>1001</v>
      </c>
      <c r="G290" s="13" t="s">
        <v>1002</v>
      </c>
      <c r="H290" s="3">
        <v>15</v>
      </c>
      <c r="I290" s="15">
        <v>4926850</v>
      </c>
      <c r="J290" s="12">
        <v>983099.52</v>
      </c>
      <c r="K290" s="26">
        <f t="shared" si="15"/>
        <v>0.19953916193917007</v>
      </c>
      <c r="L290" s="151">
        <v>41851</v>
      </c>
      <c r="M290" s="151">
        <v>41892</v>
      </c>
      <c r="N290" s="18">
        <f>3586114.9/611965</f>
        <v>5.859999999999999</v>
      </c>
      <c r="O290" s="141">
        <f t="shared" si="16"/>
        <v>0.03405105152545564</v>
      </c>
      <c r="P290" s="57"/>
    </row>
    <row r="291" spans="1:15" s="101" customFormat="1" ht="22.5">
      <c r="A291" s="6" t="s">
        <v>701</v>
      </c>
      <c r="B291" s="63" t="s">
        <v>306</v>
      </c>
      <c r="C291" s="13" t="s">
        <v>702</v>
      </c>
      <c r="D291" s="13" t="s">
        <v>703</v>
      </c>
      <c r="E291" s="13" t="s">
        <v>1012</v>
      </c>
      <c r="F291" s="3" t="s">
        <v>1008</v>
      </c>
      <c r="G291" s="13" t="s">
        <v>704</v>
      </c>
      <c r="H291" s="36">
        <v>49</v>
      </c>
      <c r="I291" s="15">
        <v>77426</v>
      </c>
      <c r="J291" s="15">
        <v>4870</v>
      </c>
      <c r="K291" s="26">
        <f t="shared" si="15"/>
        <v>0.06289876785575904</v>
      </c>
      <c r="L291" s="151">
        <v>41838</v>
      </c>
      <c r="M291" s="151">
        <v>41873</v>
      </c>
      <c r="N291" s="18">
        <f>62715.06/77426</f>
        <v>0.8099999999999999</v>
      </c>
      <c r="O291" s="141">
        <f t="shared" si="16"/>
        <v>0.07765279982192475</v>
      </c>
    </row>
    <row r="292" spans="1:15" s="101" customFormat="1" ht="22.5">
      <c r="A292" s="6" t="s">
        <v>709</v>
      </c>
      <c r="B292" s="63" t="s">
        <v>306</v>
      </c>
      <c r="C292" s="13" t="s">
        <v>1140</v>
      </c>
      <c r="D292" s="13" t="s">
        <v>710</v>
      </c>
      <c r="E292" s="13" t="s">
        <v>1012</v>
      </c>
      <c r="F292" s="3" t="s">
        <v>1008</v>
      </c>
      <c r="G292" s="13" t="s">
        <v>711</v>
      </c>
      <c r="H292" s="36">
        <v>49</v>
      </c>
      <c r="I292" s="15">
        <v>2094754</v>
      </c>
      <c r="J292" s="15">
        <v>209000</v>
      </c>
      <c r="K292" s="26">
        <f t="shared" si="15"/>
        <v>0.09977305211017619</v>
      </c>
      <c r="L292" s="151">
        <v>41691</v>
      </c>
      <c r="M292" s="151">
        <v>41726</v>
      </c>
      <c r="N292" s="18">
        <f>4484868.31/2094754</f>
        <v>2.140999998090468</v>
      </c>
      <c r="O292" s="141">
        <f t="shared" si="16"/>
        <v>0.04660114535224781</v>
      </c>
    </row>
    <row r="293" spans="1:15" ht="11.25">
      <c r="A293" s="70"/>
      <c r="B293" s="70"/>
      <c r="C293" s="71"/>
      <c r="D293" s="71"/>
      <c r="E293" s="71"/>
      <c r="F293" s="72"/>
      <c r="G293" s="71"/>
      <c r="H293" s="72"/>
      <c r="I293" s="73"/>
      <c r="J293" s="73"/>
      <c r="K293" s="74"/>
      <c r="L293" s="75"/>
      <c r="M293" s="75"/>
      <c r="N293" s="22"/>
      <c r="O293" s="22"/>
    </row>
    <row r="294" spans="1:15" ht="11.25">
      <c r="A294" s="70"/>
      <c r="B294" s="70"/>
      <c r="C294" s="71"/>
      <c r="D294" s="71"/>
      <c r="E294" s="71"/>
      <c r="F294" s="72"/>
      <c r="G294" s="71"/>
      <c r="H294" s="72"/>
      <c r="I294" s="73"/>
      <c r="J294" s="73"/>
      <c r="K294" s="74"/>
      <c r="L294" s="75"/>
      <c r="M294" s="75"/>
      <c r="N294" s="22"/>
      <c r="O294" s="22"/>
    </row>
    <row r="295" spans="1:15" s="40" customFormat="1" ht="21" thickBot="1">
      <c r="A295" s="39" t="s">
        <v>789</v>
      </c>
      <c r="B295" s="39"/>
      <c r="F295" s="41"/>
      <c r="H295" s="41"/>
      <c r="I295" s="41"/>
      <c r="J295" s="41"/>
      <c r="L295" s="42"/>
      <c r="M295" s="42"/>
      <c r="N295" s="43"/>
      <c r="O295" s="44"/>
    </row>
    <row r="296" spans="1:15" s="24" customFormat="1" ht="33.75">
      <c r="A296" s="9"/>
      <c r="B296" s="11" t="s">
        <v>123</v>
      </c>
      <c r="C296" s="10" t="s">
        <v>304</v>
      </c>
      <c r="D296" s="10" t="s">
        <v>1004</v>
      </c>
      <c r="E296" s="10" t="s">
        <v>1013</v>
      </c>
      <c r="F296" s="10" t="s">
        <v>1005</v>
      </c>
      <c r="G296" s="10" t="s">
        <v>1014</v>
      </c>
      <c r="H296" s="10" t="s">
        <v>1016</v>
      </c>
      <c r="I296" s="10" t="s">
        <v>1003</v>
      </c>
      <c r="J296" s="10" t="s">
        <v>1018</v>
      </c>
      <c r="K296" s="10" t="s">
        <v>1007</v>
      </c>
      <c r="L296" s="10" t="s">
        <v>1019</v>
      </c>
      <c r="M296" s="10" t="s">
        <v>1020</v>
      </c>
      <c r="N296" s="32" t="s">
        <v>1051</v>
      </c>
      <c r="O296" s="33" t="s">
        <v>1052</v>
      </c>
    </row>
    <row r="297" spans="1:16" s="101" customFormat="1" ht="22.5">
      <c r="A297" s="6" t="s">
        <v>317</v>
      </c>
      <c r="B297" s="63" t="s">
        <v>307</v>
      </c>
      <c r="C297" s="13" t="s">
        <v>1069</v>
      </c>
      <c r="D297" s="13" t="s">
        <v>1070</v>
      </c>
      <c r="E297" s="13" t="s">
        <v>1012</v>
      </c>
      <c r="F297" s="3" t="s">
        <v>1008</v>
      </c>
      <c r="G297" s="13" t="s">
        <v>318</v>
      </c>
      <c r="H297" s="36">
        <v>5</v>
      </c>
      <c r="I297" s="15">
        <v>1026905</v>
      </c>
      <c r="J297" s="15">
        <v>15970</v>
      </c>
      <c r="K297" s="26">
        <f aca="true" t="shared" si="17" ref="K297:K328">J297/I297</f>
        <v>0.01555158461590897</v>
      </c>
      <c r="L297" s="151">
        <v>41653</v>
      </c>
      <c r="M297" s="151">
        <v>41694</v>
      </c>
      <c r="N297" s="18">
        <f>2190285.67/1026905</f>
        <v>2.1328999956179002</v>
      </c>
      <c r="O297" s="137">
        <f aca="true" t="shared" si="18" ref="O297:O328">K297/N297</f>
        <v>0.007291286346223505</v>
      </c>
      <c r="P297" s="57"/>
    </row>
    <row r="298" spans="1:15" s="101" customFormat="1" ht="22.5">
      <c r="A298" s="6" t="s">
        <v>1068</v>
      </c>
      <c r="B298" s="63" t="s">
        <v>307</v>
      </c>
      <c r="C298" s="13" t="s">
        <v>1069</v>
      </c>
      <c r="D298" s="13" t="s">
        <v>1070</v>
      </c>
      <c r="E298" s="13" t="s">
        <v>1012</v>
      </c>
      <c r="F298" s="3" t="s">
        <v>1008</v>
      </c>
      <c r="G298" s="13" t="s">
        <v>1071</v>
      </c>
      <c r="H298" s="36">
        <v>5</v>
      </c>
      <c r="I298" s="15">
        <v>316701</v>
      </c>
      <c r="J298" s="15">
        <v>4940</v>
      </c>
      <c r="K298" s="26">
        <f t="shared" si="17"/>
        <v>0.015598308814939012</v>
      </c>
      <c r="L298" s="151">
        <v>41733</v>
      </c>
      <c r="M298" s="151">
        <v>41772</v>
      </c>
      <c r="N298" s="18">
        <f>675491.56/316701</f>
        <v>2.1328999908430983</v>
      </c>
      <c r="O298" s="137">
        <f t="shared" si="18"/>
        <v>0.007313192780676637</v>
      </c>
    </row>
    <row r="299" spans="1:16" s="101" customFormat="1" ht="22.5">
      <c r="A299" s="6" t="s">
        <v>321</v>
      </c>
      <c r="B299" s="63" t="s">
        <v>307</v>
      </c>
      <c r="C299" s="13" t="s">
        <v>1069</v>
      </c>
      <c r="D299" s="13" t="s">
        <v>1070</v>
      </c>
      <c r="E299" s="13" t="s">
        <v>1012</v>
      </c>
      <c r="F299" s="3" t="s">
        <v>1008</v>
      </c>
      <c r="G299" s="13" t="s">
        <v>322</v>
      </c>
      <c r="H299" s="36">
        <v>5</v>
      </c>
      <c r="I299" s="15">
        <v>384709</v>
      </c>
      <c r="J299" s="15">
        <v>6001</v>
      </c>
      <c r="K299" s="26">
        <f t="shared" si="17"/>
        <v>0.015598803251288637</v>
      </c>
      <c r="L299" s="151">
        <v>41653</v>
      </c>
      <c r="M299" s="151">
        <v>41694</v>
      </c>
      <c r="N299" s="18">
        <f>820375.19/384629</f>
        <v>2.1328999893403773</v>
      </c>
      <c r="O299" s="16">
        <f t="shared" si="18"/>
        <v>0.00731342459995639</v>
      </c>
      <c r="P299" s="57"/>
    </row>
    <row r="300" spans="1:16" s="101" customFormat="1" ht="22.5">
      <c r="A300" s="6" t="s">
        <v>315</v>
      </c>
      <c r="B300" s="63" t="s">
        <v>307</v>
      </c>
      <c r="C300" s="13" t="s">
        <v>1069</v>
      </c>
      <c r="D300" s="13" t="s">
        <v>1070</v>
      </c>
      <c r="E300" s="13" t="s">
        <v>1012</v>
      </c>
      <c r="F300" s="3" t="s">
        <v>1008</v>
      </c>
      <c r="G300" s="13" t="s">
        <v>316</v>
      </c>
      <c r="H300" s="36">
        <v>5</v>
      </c>
      <c r="I300" s="15">
        <v>2788744</v>
      </c>
      <c r="J300" s="15">
        <v>43504</v>
      </c>
      <c r="K300" s="26">
        <f t="shared" si="17"/>
        <v>0.015599854271313537</v>
      </c>
      <c r="L300" s="151">
        <v>41653</v>
      </c>
      <c r="M300" s="151">
        <v>41694</v>
      </c>
      <c r="N300" s="18">
        <f>5948112.08/2788744</f>
        <v>2.1329000008606025</v>
      </c>
      <c r="O300" s="16">
        <f t="shared" si="18"/>
        <v>0.007313917326184614</v>
      </c>
      <c r="P300" s="57"/>
    </row>
    <row r="301" spans="1:16" s="101" customFormat="1" ht="22.5">
      <c r="A301" s="6" t="s">
        <v>319</v>
      </c>
      <c r="B301" s="63" t="s">
        <v>307</v>
      </c>
      <c r="C301" s="13" t="s">
        <v>1069</v>
      </c>
      <c r="D301" s="13" t="s">
        <v>1070</v>
      </c>
      <c r="E301" s="13" t="s">
        <v>1012</v>
      </c>
      <c r="F301" s="3" t="s">
        <v>1008</v>
      </c>
      <c r="G301" s="13" t="s">
        <v>320</v>
      </c>
      <c r="H301" s="36">
        <v>5</v>
      </c>
      <c r="I301" s="15">
        <v>2691104</v>
      </c>
      <c r="J301" s="15">
        <v>41981</v>
      </c>
      <c r="K301" s="26">
        <f t="shared" si="17"/>
        <v>0.01559991735733736</v>
      </c>
      <c r="L301" s="151">
        <v>41653</v>
      </c>
      <c r="M301" s="151">
        <v>41694</v>
      </c>
      <c r="N301" s="18">
        <f>5739855.72/2691104</f>
        <v>2.1328999994054483</v>
      </c>
      <c r="O301" s="16">
        <f t="shared" si="18"/>
        <v>0.007313946908756097</v>
      </c>
      <c r="P301" s="57"/>
    </row>
    <row r="302" spans="1:16" s="101" customFormat="1" ht="22.5">
      <c r="A302" s="6" t="s">
        <v>1110</v>
      </c>
      <c r="B302" s="63" t="s">
        <v>307</v>
      </c>
      <c r="C302" s="13" t="s">
        <v>1069</v>
      </c>
      <c r="D302" s="13" t="s">
        <v>1106</v>
      </c>
      <c r="E302" s="13" t="s">
        <v>1012</v>
      </c>
      <c r="F302" s="3" t="s">
        <v>1107</v>
      </c>
      <c r="G302" s="13" t="s">
        <v>1111</v>
      </c>
      <c r="H302" s="36">
        <v>5</v>
      </c>
      <c r="I302" s="15">
        <v>38652</v>
      </c>
      <c r="J302" s="15">
        <v>1970</v>
      </c>
      <c r="K302" s="26">
        <f t="shared" si="17"/>
        <v>0.05096760840318742</v>
      </c>
      <c r="L302" s="151">
        <v>41795</v>
      </c>
      <c r="M302" s="151">
        <v>41827</v>
      </c>
      <c r="N302" s="18">
        <f>114100.7/38652</f>
        <v>2.9519998965124703</v>
      </c>
      <c r="O302" s="137">
        <f t="shared" si="18"/>
        <v>0.017265450606350357</v>
      </c>
      <c r="P302" s="57"/>
    </row>
    <row r="303" spans="1:16" s="101" customFormat="1" ht="22.5">
      <c r="A303" s="6" t="s">
        <v>752</v>
      </c>
      <c r="B303" s="63" t="s">
        <v>307</v>
      </c>
      <c r="C303" s="13" t="s">
        <v>1069</v>
      </c>
      <c r="D303" s="13" t="s">
        <v>750</v>
      </c>
      <c r="E303" s="13" t="s">
        <v>1012</v>
      </c>
      <c r="F303" s="3" t="s">
        <v>1107</v>
      </c>
      <c r="G303" s="13" t="s">
        <v>753</v>
      </c>
      <c r="H303" s="36">
        <v>5</v>
      </c>
      <c r="I303" s="15">
        <v>191331</v>
      </c>
      <c r="J303" s="15">
        <v>9757</v>
      </c>
      <c r="K303" s="26">
        <f t="shared" si="17"/>
        <v>0.05099539541422979</v>
      </c>
      <c r="L303" s="151">
        <v>41754</v>
      </c>
      <c r="M303" s="151">
        <v>41785</v>
      </c>
      <c r="N303" s="18">
        <f>539553.42/191331</f>
        <v>2.8200000000000003</v>
      </c>
      <c r="O303" s="137">
        <f t="shared" si="18"/>
        <v>0.018083473551145313</v>
      </c>
      <c r="P303" s="57"/>
    </row>
    <row r="304" spans="1:16" s="101" customFormat="1" ht="22.5">
      <c r="A304" s="6" t="s">
        <v>1121</v>
      </c>
      <c r="B304" s="63" t="s">
        <v>307</v>
      </c>
      <c r="C304" s="13" t="s">
        <v>1069</v>
      </c>
      <c r="D304" s="13" t="s">
        <v>1106</v>
      </c>
      <c r="E304" s="13" t="s">
        <v>1012</v>
      </c>
      <c r="F304" s="3" t="s">
        <v>1117</v>
      </c>
      <c r="G304" s="13" t="s">
        <v>1122</v>
      </c>
      <c r="H304" s="36">
        <v>5</v>
      </c>
      <c r="I304" s="15">
        <v>100124</v>
      </c>
      <c r="J304" s="15">
        <v>5106</v>
      </c>
      <c r="K304" s="26">
        <f t="shared" si="17"/>
        <v>0.050996764012624346</v>
      </c>
      <c r="L304" s="151">
        <v>41795</v>
      </c>
      <c r="M304" s="151">
        <v>41827</v>
      </c>
      <c r="N304" s="18">
        <f>197164.18/100124</f>
        <v>1.9691999920099077</v>
      </c>
      <c r="O304" s="137">
        <f t="shared" si="18"/>
        <v>0.025897198973971844</v>
      </c>
      <c r="P304" s="57"/>
    </row>
    <row r="305" spans="1:16" s="101" customFormat="1" ht="22.5">
      <c r="A305" s="6" t="s">
        <v>1116</v>
      </c>
      <c r="B305" s="63" t="s">
        <v>307</v>
      </c>
      <c r="C305" s="13" t="s">
        <v>1069</v>
      </c>
      <c r="D305" s="13" t="s">
        <v>1106</v>
      </c>
      <c r="E305" s="13" t="s">
        <v>1012</v>
      </c>
      <c r="F305" s="3" t="s">
        <v>1117</v>
      </c>
      <c r="G305" s="13" t="s">
        <v>1119</v>
      </c>
      <c r="H305" s="36">
        <v>5</v>
      </c>
      <c r="I305" s="15">
        <v>158592</v>
      </c>
      <c r="J305" s="15">
        <v>8088</v>
      </c>
      <c r="K305" s="26">
        <f t="shared" si="17"/>
        <v>0.05099878934624697</v>
      </c>
      <c r="L305" s="151">
        <v>41795</v>
      </c>
      <c r="M305" s="151">
        <v>41827</v>
      </c>
      <c r="N305" s="18">
        <f>386821.75/158592</f>
        <v>2.439100017655367</v>
      </c>
      <c r="O305" s="137">
        <f t="shared" si="18"/>
        <v>0.020908855306093828</v>
      </c>
      <c r="P305" s="57"/>
    </row>
    <row r="306" spans="1:16" s="101" customFormat="1" ht="22.5">
      <c r="A306" s="6" t="s">
        <v>1123</v>
      </c>
      <c r="B306" s="63" t="s">
        <v>307</v>
      </c>
      <c r="C306" s="13" t="s">
        <v>1069</v>
      </c>
      <c r="D306" s="13" t="s">
        <v>1106</v>
      </c>
      <c r="E306" s="13" t="s">
        <v>1012</v>
      </c>
      <c r="F306" s="3" t="s">
        <v>1117</v>
      </c>
      <c r="G306" s="13" t="s">
        <v>1124</v>
      </c>
      <c r="H306" s="36">
        <v>5</v>
      </c>
      <c r="I306" s="15">
        <v>870997</v>
      </c>
      <c r="J306" s="15">
        <v>44420</v>
      </c>
      <c r="K306" s="26">
        <f t="shared" si="17"/>
        <v>0.05099902755118559</v>
      </c>
      <c r="L306" s="151">
        <v>41795</v>
      </c>
      <c r="M306" s="151">
        <v>41827</v>
      </c>
      <c r="N306" s="18">
        <f>2571183.14/870997</f>
        <v>2.951999995407562</v>
      </c>
      <c r="O306" s="137">
        <f t="shared" si="18"/>
        <v>0.017276093370774046</v>
      </c>
      <c r="P306" s="57"/>
    </row>
    <row r="307" spans="1:16" s="101" customFormat="1" ht="22.5">
      <c r="A307" s="6" t="s">
        <v>1129</v>
      </c>
      <c r="B307" s="63" t="s">
        <v>307</v>
      </c>
      <c r="C307" s="13" t="s">
        <v>1069</v>
      </c>
      <c r="D307" s="13" t="s">
        <v>1106</v>
      </c>
      <c r="E307" s="13" t="s">
        <v>1012</v>
      </c>
      <c r="F307" s="3" t="s">
        <v>1117</v>
      </c>
      <c r="G307" s="13" t="s">
        <v>1130</v>
      </c>
      <c r="H307" s="36">
        <v>5</v>
      </c>
      <c r="I307" s="15">
        <v>407554</v>
      </c>
      <c r="J307" s="15">
        <v>20785</v>
      </c>
      <c r="K307" s="26">
        <f t="shared" si="17"/>
        <v>0.05099937676970414</v>
      </c>
      <c r="L307" s="151">
        <v>41795</v>
      </c>
      <c r="M307" s="151">
        <v>41827</v>
      </c>
      <c r="N307" s="18">
        <f>1203099.41/407554</f>
        <v>2.952000004907325</v>
      </c>
      <c r="O307" s="137">
        <f t="shared" si="18"/>
        <v>0.017276211614134198</v>
      </c>
      <c r="P307" s="57"/>
    </row>
    <row r="308" spans="1:16" s="101" customFormat="1" ht="22.5">
      <c r="A308" s="6" t="s">
        <v>1125</v>
      </c>
      <c r="B308" s="63" t="s">
        <v>307</v>
      </c>
      <c r="C308" s="13" t="s">
        <v>1069</v>
      </c>
      <c r="D308" s="13" t="s">
        <v>1106</v>
      </c>
      <c r="E308" s="13" t="s">
        <v>1012</v>
      </c>
      <c r="F308" s="3" t="s">
        <v>1117</v>
      </c>
      <c r="G308" s="13" t="s">
        <v>1126</v>
      </c>
      <c r="H308" s="36">
        <v>5</v>
      </c>
      <c r="I308" s="15">
        <v>776713</v>
      </c>
      <c r="J308" s="15">
        <v>39612</v>
      </c>
      <c r="K308" s="26">
        <f t="shared" si="17"/>
        <v>0.05099953264590653</v>
      </c>
      <c r="L308" s="151">
        <v>41795</v>
      </c>
      <c r="M308" s="151">
        <v>41827</v>
      </c>
      <c r="N308" s="18">
        <f>1894480.68/776713</f>
        <v>2.4391000021887104</v>
      </c>
      <c r="O308" s="137">
        <f t="shared" si="18"/>
        <v>0.020909160182092754</v>
      </c>
      <c r="P308" s="57"/>
    </row>
    <row r="309" spans="1:16" s="101" customFormat="1" ht="22.5">
      <c r="A309" s="6" t="s">
        <v>1118</v>
      </c>
      <c r="B309" s="63" t="s">
        <v>307</v>
      </c>
      <c r="C309" s="13" t="s">
        <v>1069</v>
      </c>
      <c r="D309" s="13" t="s">
        <v>1106</v>
      </c>
      <c r="E309" s="13" t="s">
        <v>1012</v>
      </c>
      <c r="F309" s="3" t="s">
        <v>1107</v>
      </c>
      <c r="G309" s="13" t="s">
        <v>1120</v>
      </c>
      <c r="H309" s="36">
        <v>5</v>
      </c>
      <c r="I309" s="15">
        <v>1408477</v>
      </c>
      <c r="J309" s="15">
        <v>71832</v>
      </c>
      <c r="K309" s="26">
        <f t="shared" si="17"/>
        <v>0.05099976783433453</v>
      </c>
      <c r="L309" s="151">
        <v>41795</v>
      </c>
      <c r="M309" s="151">
        <v>41827</v>
      </c>
      <c r="N309" s="18">
        <f>2773572.91/1408477</f>
        <v>1.969200001135979</v>
      </c>
      <c r="O309" s="137">
        <f t="shared" si="18"/>
        <v>0.025898724255999456</v>
      </c>
      <c r="P309" s="57"/>
    </row>
    <row r="310" spans="1:16" s="101" customFormat="1" ht="22.5">
      <c r="A310" s="6" t="s">
        <v>1127</v>
      </c>
      <c r="B310" s="63" t="s">
        <v>307</v>
      </c>
      <c r="C310" s="13" t="s">
        <v>1069</v>
      </c>
      <c r="D310" s="13" t="s">
        <v>1106</v>
      </c>
      <c r="E310" s="13" t="s">
        <v>1012</v>
      </c>
      <c r="F310" s="3" t="s">
        <v>1117</v>
      </c>
      <c r="G310" s="13" t="s">
        <v>1128</v>
      </c>
      <c r="H310" s="36">
        <v>5</v>
      </c>
      <c r="I310" s="15">
        <v>1718242</v>
      </c>
      <c r="J310" s="15">
        <v>87630</v>
      </c>
      <c r="K310" s="26">
        <f t="shared" si="17"/>
        <v>0.050999800959352644</v>
      </c>
      <c r="L310" s="151">
        <v>41795</v>
      </c>
      <c r="M310" s="151">
        <v>41827</v>
      </c>
      <c r="N310" s="18">
        <f>4190964.06/1718242</f>
        <v>2.439099998719622</v>
      </c>
      <c r="O310" s="137">
        <f t="shared" si="18"/>
        <v>0.020909270216934287</v>
      </c>
      <c r="P310" s="57"/>
    </row>
    <row r="311" spans="1:16" s="101" customFormat="1" ht="22.5">
      <c r="A311" s="6" t="s">
        <v>760</v>
      </c>
      <c r="B311" s="63" t="s">
        <v>307</v>
      </c>
      <c r="C311" s="13" t="s">
        <v>1069</v>
      </c>
      <c r="D311" s="13" t="s">
        <v>750</v>
      </c>
      <c r="E311" s="13" t="s">
        <v>1012</v>
      </c>
      <c r="F311" s="3" t="s">
        <v>1107</v>
      </c>
      <c r="G311" s="13" t="s">
        <v>761</v>
      </c>
      <c r="H311" s="36">
        <v>5</v>
      </c>
      <c r="I311" s="15">
        <v>2441300</v>
      </c>
      <c r="J311" s="15">
        <v>124506</v>
      </c>
      <c r="K311" s="26">
        <f t="shared" si="17"/>
        <v>0.05099987711465203</v>
      </c>
      <c r="L311" s="151">
        <v>41754</v>
      </c>
      <c r="M311" s="151">
        <v>41785</v>
      </c>
      <c r="N311" s="18">
        <f>6051494.44/2441300</f>
        <v>2.4788</v>
      </c>
      <c r="O311" s="16">
        <f t="shared" si="18"/>
        <v>0.02057442194394547</v>
      </c>
      <c r="P311" s="57"/>
    </row>
    <row r="312" spans="1:16" s="101" customFormat="1" ht="22.5">
      <c r="A312" s="6" t="s">
        <v>1105</v>
      </c>
      <c r="B312" s="63" t="s">
        <v>307</v>
      </c>
      <c r="C312" s="13" t="s">
        <v>1069</v>
      </c>
      <c r="D312" s="13" t="s">
        <v>1106</v>
      </c>
      <c r="E312" s="13" t="s">
        <v>1012</v>
      </c>
      <c r="F312" s="3" t="s">
        <v>1107</v>
      </c>
      <c r="G312" s="13" t="s">
        <v>1108</v>
      </c>
      <c r="H312" s="36">
        <v>5</v>
      </c>
      <c r="I312" s="15">
        <v>6851810</v>
      </c>
      <c r="J312" s="15">
        <v>349442</v>
      </c>
      <c r="K312" s="26">
        <f t="shared" si="17"/>
        <v>0.050999954756480406</v>
      </c>
      <c r="L312" s="151">
        <v>41795</v>
      </c>
      <c r="M312" s="151">
        <v>41827</v>
      </c>
      <c r="N312" s="18">
        <f>15896199.2/6851810</f>
        <v>2.32</v>
      </c>
      <c r="O312" s="137">
        <f t="shared" si="18"/>
        <v>0.02198273911917259</v>
      </c>
      <c r="P312" s="57"/>
    </row>
    <row r="313" spans="1:16" s="101" customFormat="1" ht="22.5">
      <c r="A313" s="6" t="s">
        <v>772</v>
      </c>
      <c r="B313" s="63" t="s">
        <v>307</v>
      </c>
      <c r="C313" s="13" t="s">
        <v>1069</v>
      </c>
      <c r="D313" s="13" t="s">
        <v>750</v>
      </c>
      <c r="E313" s="13" t="s">
        <v>1012</v>
      </c>
      <c r="F313" s="3" t="s">
        <v>1107</v>
      </c>
      <c r="G313" s="13" t="s">
        <v>773</v>
      </c>
      <c r="H313" s="36">
        <v>5</v>
      </c>
      <c r="I313" s="15">
        <v>2448000</v>
      </c>
      <c r="J313" s="15">
        <v>124848</v>
      </c>
      <c r="K313" s="26">
        <f t="shared" si="17"/>
        <v>0.051</v>
      </c>
      <c r="L313" s="151">
        <v>41754</v>
      </c>
      <c r="M313" s="151">
        <v>41785</v>
      </c>
      <c r="N313" s="18">
        <f>6903360/2448000</f>
        <v>2.82</v>
      </c>
      <c r="O313" s="16">
        <f t="shared" si="18"/>
        <v>0.018085106382978722</v>
      </c>
      <c r="P313" s="57"/>
    </row>
    <row r="314" spans="1:16" s="101" customFormat="1" ht="22.5">
      <c r="A314" s="6" t="s">
        <v>768</v>
      </c>
      <c r="B314" s="63" t="s">
        <v>307</v>
      </c>
      <c r="C314" s="13" t="s">
        <v>1069</v>
      </c>
      <c r="D314" s="13" t="s">
        <v>750</v>
      </c>
      <c r="E314" s="13" t="s">
        <v>1012</v>
      </c>
      <c r="F314" s="3" t="s">
        <v>1107</v>
      </c>
      <c r="G314" s="13" t="s">
        <v>769</v>
      </c>
      <c r="H314" s="36">
        <v>5</v>
      </c>
      <c r="I314" s="15">
        <v>6604000</v>
      </c>
      <c r="J314" s="15">
        <v>336804</v>
      </c>
      <c r="K314" s="26">
        <f t="shared" si="17"/>
        <v>0.051</v>
      </c>
      <c r="L314" s="151">
        <v>41754</v>
      </c>
      <c r="M314" s="151">
        <v>41785</v>
      </c>
      <c r="N314" s="18">
        <f>18238266.8/6604000</f>
        <v>2.7617000000000003</v>
      </c>
      <c r="O314" s="16">
        <f t="shared" si="18"/>
        <v>0.018466886338125064</v>
      </c>
      <c r="P314" s="57"/>
    </row>
    <row r="315" spans="1:16" s="101" customFormat="1" ht="22.5">
      <c r="A315" s="6" t="s">
        <v>756</v>
      </c>
      <c r="B315" s="63" t="s">
        <v>307</v>
      </c>
      <c r="C315" s="13" t="s">
        <v>1069</v>
      </c>
      <c r="D315" s="13" t="s">
        <v>750</v>
      </c>
      <c r="E315" s="13" t="s">
        <v>1012</v>
      </c>
      <c r="F315" s="3" t="s">
        <v>1107</v>
      </c>
      <c r="G315" s="13" t="s">
        <v>757</v>
      </c>
      <c r="H315" s="36">
        <v>5</v>
      </c>
      <c r="I315" s="15">
        <v>4870000</v>
      </c>
      <c r="J315" s="15">
        <v>248370</v>
      </c>
      <c r="K315" s="26">
        <f t="shared" si="17"/>
        <v>0.051</v>
      </c>
      <c r="L315" s="151">
        <v>41754</v>
      </c>
      <c r="M315" s="151">
        <v>41785</v>
      </c>
      <c r="N315" s="18">
        <f>12904039/4870000</f>
        <v>2.6497</v>
      </c>
      <c r="O315" s="16">
        <f t="shared" si="18"/>
        <v>0.019247461976827564</v>
      </c>
      <c r="P315" s="57"/>
    </row>
    <row r="316" spans="1:16" s="101" customFormat="1" ht="22.5">
      <c r="A316" s="6" t="s">
        <v>776</v>
      </c>
      <c r="B316" s="63" t="s">
        <v>307</v>
      </c>
      <c r="C316" s="13" t="s">
        <v>1069</v>
      </c>
      <c r="D316" s="13" t="s">
        <v>750</v>
      </c>
      <c r="E316" s="13" t="s">
        <v>1012</v>
      </c>
      <c r="F316" s="3" t="s">
        <v>1107</v>
      </c>
      <c r="G316" s="13" t="s">
        <v>777</v>
      </c>
      <c r="H316" s="36">
        <v>5</v>
      </c>
      <c r="I316" s="15">
        <v>5430000</v>
      </c>
      <c r="J316" s="15">
        <v>276930</v>
      </c>
      <c r="K316" s="26">
        <f t="shared" si="17"/>
        <v>0.051</v>
      </c>
      <c r="L316" s="151">
        <v>41754</v>
      </c>
      <c r="M316" s="151">
        <v>41785</v>
      </c>
      <c r="N316" s="18">
        <f>13244313/5430000</f>
        <v>2.4391</v>
      </c>
      <c r="O316" s="16">
        <f t="shared" si="18"/>
        <v>0.020909351810093887</v>
      </c>
      <c r="P316" s="57"/>
    </row>
    <row r="317" spans="1:16" s="101" customFormat="1" ht="22.5">
      <c r="A317" s="6" t="s">
        <v>764</v>
      </c>
      <c r="B317" s="63" t="s">
        <v>307</v>
      </c>
      <c r="C317" s="13" t="s">
        <v>1069</v>
      </c>
      <c r="D317" s="13" t="s">
        <v>750</v>
      </c>
      <c r="E317" s="13" t="s">
        <v>1012</v>
      </c>
      <c r="F317" s="3" t="s">
        <v>1107</v>
      </c>
      <c r="G317" s="13" t="s">
        <v>765</v>
      </c>
      <c r="H317" s="36">
        <v>5</v>
      </c>
      <c r="I317" s="15">
        <v>6474000</v>
      </c>
      <c r="J317" s="15">
        <v>330174</v>
      </c>
      <c r="K317" s="26">
        <f t="shared" si="17"/>
        <v>0.051</v>
      </c>
      <c r="L317" s="151">
        <v>41754</v>
      </c>
      <c r="M317" s="151">
        <v>41785</v>
      </c>
      <c r="N317" s="18">
        <f>15724698.6/6474000</f>
        <v>2.4289</v>
      </c>
      <c r="O317" s="16">
        <f t="shared" si="18"/>
        <v>0.020997159207871874</v>
      </c>
      <c r="P317" s="57"/>
    </row>
    <row r="318" spans="1:16" s="101" customFormat="1" ht="22.5">
      <c r="A318" s="6" t="s">
        <v>774</v>
      </c>
      <c r="B318" s="63" t="s">
        <v>307</v>
      </c>
      <c r="C318" s="13" t="s">
        <v>1069</v>
      </c>
      <c r="D318" s="13" t="s">
        <v>750</v>
      </c>
      <c r="E318" s="13" t="s">
        <v>1012</v>
      </c>
      <c r="F318" s="3" t="s">
        <v>1107</v>
      </c>
      <c r="G318" s="13" t="s">
        <v>775</v>
      </c>
      <c r="H318" s="36">
        <v>5</v>
      </c>
      <c r="I318" s="15">
        <v>6130000</v>
      </c>
      <c r="J318" s="15">
        <v>312630</v>
      </c>
      <c r="K318" s="26">
        <f t="shared" si="17"/>
        <v>0.051</v>
      </c>
      <c r="L318" s="151">
        <v>41754</v>
      </c>
      <c r="M318" s="151">
        <v>41785</v>
      </c>
      <c r="N318" s="18">
        <f>14645183/6130000</f>
        <v>2.3891</v>
      </c>
      <c r="O318" s="16">
        <f t="shared" si="18"/>
        <v>0.021346950734586246</v>
      </c>
      <c r="P318" s="57"/>
    </row>
    <row r="319" spans="1:16" s="101" customFormat="1" ht="22.5">
      <c r="A319" s="6" t="s">
        <v>762</v>
      </c>
      <c r="B319" s="63" t="s">
        <v>307</v>
      </c>
      <c r="C319" s="13" t="s">
        <v>1069</v>
      </c>
      <c r="D319" s="13" t="s">
        <v>750</v>
      </c>
      <c r="E319" s="13" t="s">
        <v>1012</v>
      </c>
      <c r="F319" s="3" t="s">
        <v>1107</v>
      </c>
      <c r="G319" s="13" t="s">
        <v>763</v>
      </c>
      <c r="H319" s="36">
        <v>5</v>
      </c>
      <c r="I319" s="15">
        <v>1346000</v>
      </c>
      <c r="J319" s="15">
        <v>68646</v>
      </c>
      <c r="K319" s="26">
        <f t="shared" si="17"/>
        <v>0.051</v>
      </c>
      <c r="L319" s="151">
        <v>41754</v>
      </c>
      <c r="M319" s="151">
        <v>41785</v>
      </c>
      <c r="N319" s="18">
        <f>2952585.6/1346000</f>
        <v>2.1936</v>
      </c>
      <c r="O319" s="16">
        <f t="shared" si="18"/>
        <v>0.02324945295404814</v>
      </c>
      <c r="P319" s="57"/>
    </row>
    <row r="320" spans="1:16" s="101" customFormat="1" ht="22.5">
      <c r="A320" s="6" t="s">
        <v>766</v>
      </c>
      <c r="B320" s="63" t="s">
        <v>307</v>
      </c>
      <c r="C320" s="13" t="s">
        <v>1069</v>
      </c>
      <c r="D320" s="13" t="s">
        <v>750</v>
      </c>
      <c r="E320" s="13" t="s">
        <v>1012</v>
      </c>
      <c r="F320" s="3" t="s">
        <v>1107</v>
      </c>
      <c r="G320" s="13" t="s">
        <v>767</v>
      </c>
      <c r="H320" s="36">
        <v>5</v>
      </c>
      <c r="I320" s="15">
        <v>4928000</v>
      </c>
      <c r="J320" s="15">
        <v>251328</v>
      </c>
      <c r="K320" s="26">
        <f t="shared" si="17"/>
        <v>0.051</v>
      </c>
      <c r="L320" s="151">
        <v>41754</v>
      </c>
      <c r="M320" s="151">
        <v>41785</v>
      </c>
      <c r="N320" s="18">
        <f>10197510.4/4928000</f>
        <v>2.0693</v>
      </c>
      <c r="O320" s="16">
        <f t="shared" si="18"/>
        <v>0.024646015560817663</v>
      </c>
      <c r="P320" s="57"/>
    </row>
    <row r="321" spans="1:16" s="101" customFormat="1" ht="22.5">
      <c r="A321" s="6" t="s">
        <v>749</v>
      </c>
      <c r="B321" s="63" t="s">
        <v>307</v>
      </c>
      <c r="C321" s="13" t="s">
        <v>1069</v>
      </c>
      <c r="D321" s="13" t="s">
        <v>750</v>
      </c>
      <c r="E321" s="13" t="s">
        <v>1012</v>
      </c>
      <c r="F321" s="3" t="s">
        <v>1107</v>
      </c>
      <c r="G321" s="13" t="s">
        <v>751</v>
      </c>
      <c r="H321" s="36">
        <v>5</v>
      </c>
      <c r="I321" s="15">
        <v>8653000</v>
      </c>
      <c r="J321" s="15">
        <v>441303</v>
      </c>
      <c r="K321" s="26">
        <f t="shared" si="17"/>
        <v>0.051</v>
      </c>
      <c r="L321" s="151">
        <v>41754</v>
      </c>
      <c r="M321" s="151">
        <v>41785</v>
      </c>
      <c r="N321" s="18">
        <f>17100058.6/8653000</f>
        <v>1.9762000000000002</v>
      </c>
      <c r="O321" s="16">
        <f t="shared" si="18"/>
        <v>0.02580710454407448</v>
      </c>
      <c r="P321" s="57"/>
    </row>
    <row r="322" spans="1:16" s="101" customFormat="1" ht="22.5">
      <c r="A322" s="6" t="s">
        <v>754</v>
      </c>
      <c r="B322" s="63" t="s">
        <v>307</v>
      </c>
      <c r="C322" s="13" t="s">
        <v>1069</v>
      </c>
      <c r="D322" s="13" t="s">
        <v>750</v>
      </c>
      <c r="E322" s="13" t="s">
        <v>1012</v>
      </c>
      <c r="F322" s="3" t="s">
        <v>1107</v>
      </c>
      <c r="G322" s="13" t="s">
        <v>755</v>
      </c>
      <c r="H322" s="36">
        <v>5</v>
      </c>
      <c r="I322" s="15">
        <v>2338700</v>
      </c>
      <c r="J322" s="15">
        <v>119274</v>
      </c>
      <c r="K322" s="26">
        <f t="shared" si="17"/>
        <v>0.051000128276392866</v>
      </c>
      <c r="L322" s="151">
        <v>41754</v>
      </c>
      <c r="M322" s="151">
        <v>41785</v>
      </c>
      <c r="N322" s="18">
        <f>5704323.1/2338700</f>
        <v>2.4390999700688414</v>
      </c>
      <c r="O322" s="16">
        <f t="shared" si="18"/>
        <v>0.020909404658372176</v>
      </c>
      <c r="P322" s="57"/>
    </row>
    <row r="323" spans="1:16" s="101" customFormat="1" ht="22.5">
      <c r="A323" s="6" t="s">
        <v>1112</v>
      </c>
      <c r="B323" s="63" t="s">
        <v>307</v>
      </c>
      <c r="C323" s="13" t="s">
        <v>1069</v>
      </c>
      <c r="D323" s="13" t="s">
        <v>1106</v>
      </c>
      <c r="E323" s="13" t="s">
        <v>1012</v>
      </c>
      <c r="F323" s="3" t="s">
        <v>1107</v>
      </c>
      <c r="G323" s="13" t="s">
        <v>1115</v>
      </c>
      <c r="H323" s="36">
        <v>5</v>
      </c>
      <c r="I323" s="15">
        <v>1534072</v>
      </c>
      <c r="J323" s="15">
        <v>78238</v>
      </c>
      <c r="K323" s="26">
        <f t="shared" si="17"/>
        <v>0.05100021381004281</v>
      </c>
      <c r="L323" s="151">
        <v>41795</v>
      </c>
      <c r="M323" s="151">
        <v>41827</v>
      </c>
      <c r="N323" s="18">
        <f>4528580.54/1534072</f>
        <v>2.9519999973925604</v>
      </c>
      <c r="O323" s="137">
        <f t="shared" si="18"/>
        <v>0.0172764952083639</v>
      </c>
      <c r="P323" s="57"/>
    </row>
    <row r="324" spans="1:16" s="101" customFormat="1" ht="22.5">
      <c r="A324" s="6" t="s">
        <v>758</v>
      </c>
      <c r="B324" s="63" t="s">
        <v>307</v>
      </c>
      <c r="C324" s="13" t="s">
        <v>1069</v>
      </c>
      <c r="D324" s="13" t="s">
        <v>750</v>
      </c>
      <c r="E324" s="13" t="s">
        <v>1012</v>
      </c>
      <c r="F324" s="3" t="s">
        <v>1107</v>
      </c>
      <c r="G324" s="13" t="s">
        <v>759</v>
      </c>
      <c r="H324" s="36">
        <v>5</v>
      </c>
      <c r="I324" s="15">
        <v>367055</v>
      </c>
      <c r="J324" s="15">
        <v>18720</v>
      </c>
      <c r="K324" s="26">
        <f t="shared" si="17"/>
        <v>0.051000531255533915</v>
      </c>
      <c r="L324" s="151">
        <v>41754</v>
      </c>
      <c r="M324" s="151">
        <v>41785</v>
      </c>
      <c r="N324" s="18">
        <f>891539.89/367055</f>
        <v>2.4289000013621935</v>
      </c>
      <c r="O324" s="16">
        <f t="shared" si="18"/>
        <v>0.02099737791878275</v>
      </c>
      <c r="P324" s="57"/>
    </row>
    <row r="325" spans="1:16" s="101" customFormat="1" ht="22.5">
      <c r="A325" s="6" t="s">
        <v>1113</v>
      </c>
      <c r="B325" s="63" t="s">
        <v>307</v>
      </c>
      <c r="C325" s="13" t="s">
        <v>1069</v>
      </c>
      <c r="D325" s="13" t="s">
        <v>1106</v>
      </c>
      <c r="E325" s="13" t="s">
        <v>1012</v>
      </c>
      <c r="F325" s="3" t="s">
        <v>1107</v>
      </c>
      <c r="G325" s="13" t="s">
        <v>1114</v>
      </c>
      <c r="H325" s="36">
        <v>5</v>
      </c>
      <c r="I325" s="15">
        <v>77246</v>
      </c>
      <c r="J325" s="15">
        <v>3940</v>
      </c>
      <c r="K325" s="26">
        <f t="shared" si="17"/>
        <v>0.05100587732698133</v>
      </c>
      <c r="L325" s="151">
        <v>41795</v>
      </c>
      <c r="M325" s="151">
        <v>41827</v>
      </c>
      <c r="N325" s="18">
        <f>188410.72/77246</f>
        <v>2.439100018123916</v>
      </c>
      <c r="O325" s="137">
        <f t="shared" si="18"/>
        <v>0.020911761284071306</v>
      </c>
      <c r="P325" s="57"/>
    </row>
    <row r="326" spans="1:16" s="101" customFormat="1" ht="22.5">
      <c r="A326" s="6" t="s">
        <v>770</v>
      </c>
      <c r="B326" s="63" t="s">
        <v>307</v>
      </c>
      <c r="C326" s="13" t="s">
        <v>1069</v>
      </c>
      <c r="D326" s="13" t="s">
        <v>750</v>
      </c>
      <c r="E326" s="13" t="s">
        <v>1012</v>
      </c>
      <c r="F326" s="3" t="s">
        <v>1107</v>
      </c>
      <c r="G326" s="13" t="s">
        <v>771</v>
      </c>
      <c r="H326" s="36">
        <v>5</v>
      </c>
      <c r="I326" s="15">
        <v>15760</v>
      </c>
      <c r="J326" s="15">
        <v>804</v>
      </c>
      <c r="K326" s="26">
        <f t="shared" si="17"/>
        <v>0.05101522842639594</v>
      </c>
      <c r="L326" s="151">
        <v>41754</v>
      </c>
      <c r="M326" s="151">
        <v>41785</v>
      </c>
      <c r="N326" s="18">
        <f>41436.19/15760</f>
        <v>2.629199873096447</v>
      </c>
      <c r="O326" s="16">
        <f t="shared" si="18"/>
        <v>0.019403328346549235</v>
      </c>
      <c r="P326" s="57"/>
    </row>
    <row r="327" spans="1:16" s="101" customFormat="1" ht="22.5">
      <c r="A327" s="6" t="s">
        <v>67</v>
      </c>
      <c r="B327" s="63" t="s">
        <v>307</v>
      </c>
      <c r="C327" s="13" t="s">
        <v>1069</v>
      </c>
      <c r="D327" s="13" t="s">
        <v>68</v>
      </c>
      <c r="E327" s="13" t="s">
        <v>1012</v>
      </c>
      <c r="F327" s="3" t="s">
        <v>1107</v>
      </c>
      <c r="G327" s="13" t="s">
        <v>69</v>
      </c>
      <c r="H327" s="36">
        <v>5</v>
      </c>
      <c r="I327" s="15">
        <v>1800000</v>
      </c>
      <c r="J327" s="15">
        <v>170563</v>
      </c>
      <c r="K327" s="26">
        <f t="shared" si="17"/>
        <v>0.09475722222222223</v>
      </c>
      <c r="L327" s="151">
        <v>41940</v>
      </c>
      <c r="M327" s="151">
        <v>41971</v>
      </c>
      <c r="N327" s="18">
        <f>14133420/1800000</f>
        <v>7.8519</v>
      </c>
      <c r="O327" s="16">
        <f t="shared" si="18"/>
        <v>0.012068062790181005</v>
      </c>
      <c r="P327" s="57"/>
    </row>
    <row r="328" spans="1:16" s="101" customFormat="1" ht="22.5">
      <c r="A328" s="6" t="s">
        <v>95</v>
      </c>
      <c r="B328" s="63" t="s">
        <v>307</v>
      </c>
      <c r="C328" s="13" t="s">
        <v>1069</v>
      </c>
      <c r="D328" s="13" t="s">
        <v>96</v>
      </c>
      <c r="E328" s="13" t="s">
        <v>1012</v>
      </c>
      <c r="F328" s="3" t="s">
        <v>1008</v>
      </c>
      <c r="G328" s="13" t="s">
        <v>97</v>
      </c>
      <c r="H328" s="36">
        <v>5</v>
      </c>
      <c r="I328" s="15">
        <v>680201</v>
      </c>
      <c r="J328" s="15">
        <v>18000</v>
      </c>
      <c r="K328" s="26">
        <f t="shared" si="17"/>
        <v>0.026462766152945967</v>
      </c>
      <c r="L328" s="151">
        <v>41912</v>
      </c>
      <c r="M328" s="151">
        <v>41943</v>
      </c>
      <c r="N328" s="18">
        <f>1638740.25/680201</f>
        <v>2.409200001176123</v>
      </c>
      <c r="O328" s="16">
        <f t="shared" si="18"/>
        <v>0.010984047044673493</v>
      </c>
      <c r="P328" s="57"/>
    </row>
    <row r="329" spans="1:16" s="101" customFormat="1" ht="22.5">
      <c r="A329" s="6" t="s">
        <v>544</v>
      </c>
      <c r="B329" s="63" t="s">
        <v>307</v>
      </c>
      <c r="C329" s="13" t="s">
        <v>810</v>
      </c>
      <c r="D329" s="13" t="s">
        <v>545</v>
      </c>
      <c r="E329" s="13" t="s">
        <v>1012</v>
      </c>
      <c r="F329" s="3" t="s">
        <v>1008</v>
      </c>
      <c r="G329" s="13" t="s">
        <v>546</v>
      </c>
      <c r="H329" s="36">
        <v>5</v>
      </c>
      <c r="I329" s="15">
        <v>367814</v>
      </c>
      <c r="J329" s="15">
        <v>27000</v>
      </c>
      <c r="K329" s="26">
        <f aca="true" t="shared" si="19" ref="K329:K359">J329/I329</f>
        <v>0.07340666750042141</v>
      </c>
      <c r="L329" s="151">
        <v>41902</v>
      </c>
      <c r="M329" s="151">
        <v>41933</v>
      </c>
      <c r="N329" s="18">
        <f>1077695.02/367814</f>
        <v>2.93</v>
      </c>
      <c r="O329" s="137">
        <f aca="true" t="shared" si="20" ref="O329:O359">K329/N329</f>
        <v>0.025053470136662596</v>
      </c>
      <c r="P329" s="57"/>
    </row>
    <row r="330" spans="1:16" s="101" customFormat="1" ht="22.5">
      <c r="A330" s="6" t="s">
        <v>812</v>
      </c>
      <c r="B330" s="63" t="s">
        <v>307</v>
      </c>
      <c r="C330" s="13" t="s">
        <v>810</v>
      </c>
      <c r="D330" s="13" t="s">
        <v>811</v>
      </c>
      <c r="E330" s="13" t="s">
        <v>1012</v>
      </c>
      <c r="F330" s="3" t="s">
        <v>1008</v>
      </c>
      <c r="G330" s="13" t="s">
        <v>813</v>
      </c>
      <c r="H330" s="36">
        <v>5</v>
      </c>
      <c r="I330" s="15">
        <v>2715713</v>
      </c>
      <c r="J330" s="15">
        <v>35497</v>
      </c>
      <c r="K330" s="26">
        <f t="shared" si="19"/>
        <v>0.01307096883949077</v>
      </c>
      <c r="L330" s="151">
        <v>41664</v>
      </c>
      <c r="M330" s="151">
        <v>41695</v>
      </c>
      <c r="N330" s="18">
        <f>1304731.32/2715713</f>
        <v>0.48043785186431703</v>
      </c>
      <c r="O330" s="16">
        <f t="shared" si="20"/>
        <v>0.027206367668095834</v>
      </c>
      <c r="P330" s="57"/>
    </row>
    <row r="331" spans="1:16" s="101" customFormat="1" ht="22.5">
      <c r="A331" s="6" t="s">
        <v>611</v>
      </c>
      <c r="B331" s="63" t="s">
        <v>307</v>
      </c>
      <c r="C331" s="63" t="s">
        <v>1132</v>
      </c>
      <c r="D331" s="13" t="s">
        <v>612</v>
      </c>
      <c r="E331" s="13" t="s">
        <v>1012</v>
      </c>
      <c r="F331" s="3" t="s">
        <v>1008</v>
      </c>
      <c r="G331" s="13" t="s">
        <v>613</v>
      </c>
      <c r="H331" s="36">
        <v>10</v>
      </c>
      <c r="I331" s="15">
        <v>2109439</v>
      </c>
      <c r="J331" s="15">
        <v>30165</v>
      </c>
      <c r="K331" s="26">
        <f t="shared" si="19"/>
        <v>0.014300010571531104</v>
      </c>
      <c r="L331" s="151">
        <v>41906</v>
      </c>
      <c r="M331" s="151">
        <v>41949</v>
      </c>
      <c r="N331" s="18">
        <f>3775895.81/2109439</f>
        <v>1.79</v>
      </c>
      <c r="O331" s="137">
        <f t="shared" si="20"/>
        <v>0.007988832721525755</v>
      </c>
      <c r="P331" s="57"/>
    </row>
    <row r="332" spans="1:16" s="101" customFormat="1" ht="22.5">
      <c r="A332" s="6" t="s">
        <v>1138</v>
      </c>
      <c r="B332" s="63" t="s">
        <v>307</v>
      </c>
      <c r="C332" s="63" t="s">
        <v>1132</v>
      </c>
      <c r="D332" s="13" t="s">
        <v>1139</v>
      </c>
      <c r="E332" s="13" t="s">
        <v>1012</v>
      </c>
      <c r="F332" s="3" t="s">
        <v>1134</v>
      </c>
      <c r="G332" s="13" t="s">
        <v>143</v>
      </c>
      <c r="H332" s="36">
        <v>10</v>
      </c>
      <c r="I332" s="15">
        <v>5119000</v>
      </c>
      <c r="J332" s="15">
        <v>102380</v>
      </c>
      <c r="K332" s="26">
        <f t="shared" si="19"/>
        <v>0.02</v>
      </c>
      <c r="L332" s="151">
        <v>41795</v>
      </c>
      <c r="M332" s="151">
        <v>41827</v>
      </c>
      <c r="N332" s="18">
        <f>11979412.67/5119000</f>
        <v>2.340186104707951</v>
      </c>
      <c r="O332" s="137">
        <f t="shared" si="20"/>
        <v>0.008546328841011535</v>
      </c>
      <c r="P332" s="57"/>
    </row>
    <row r="333" spans="1:16" s="101" customFormat="1" ht="22.5">
      <c r="A333" s="6" t="s">
        <v>614</v>
      </c>
      <c r="B333" s="63" t="s">
        <v>307</v>
      </c>
      <c r="C333" s="13" t="s">
        <v>1132</v>
      </c>
      <c r="D333" s="13" t="s">
        <v>612</v>
      </c>
      <c r="E333" s="13" t="s">
        <v>1012</v>
      </c>
      <c r="F333" s="3" t="s">
        <v>1008</v>
      </c>
      <c r="G333" s="13" t="s">
        <v>615</v>
      </c>
      <c r="H333" s="36">
        <v>10</v>
      </c>
      <c r="I333" s="15">
        <v>87664</v>
      </c>
      <c r="J333" s="15">
        <v>2000</v>
      </c>
      <c r="K333" s="26">
        <f t="shared" si="19"/>
        <v>0.02281438218653039</v>
      </c>
      <c r="L333" s="151">
        <v>41906</v>
      </c>
      <c r="M333" s="151">
        <v>41949</v>
      </c>
      <c r="N333" s="18">
        <f>156918.56/87664</f>
        <v>1.79</v>
      </c>
      <c r="O333" s="137">
        <f t="shared" si="20"/>
        <v>0.012745464908676195</v>
      </c>
      <c r="P333" s="57"/>
    </row>
    <row r="334" spans="1:16" s="101" customFormat="1" ht="22.5">
      <c r="A334" s="6" t="s">
        <v>1131</v>
      </c>
      <c r="B334" s="63" t="s">
        <v>307</v>
      </c>
      <c r="C334" s="13" t="s">
        <v>1132</v>
      </c>
      <c r="D334" s="13" t="s">
        <v>1133</v>
      </c>
      <c r="E334" s="13" t="s">
        <v>1012</v>
      </c>
      <c r="F334" s="3" t="s">
        <v>1134</v>
      </c>
      <c r="G334" s="13" t="s">
        <v>1135</v>
      </c>
      <c r="H334" s="36">
        <v>10</v>
      </c>
      <c r="I334" s="15">
        <v>2446128</v>
      </c>
      <c r="J334" s="15">
        <v>48923</v>
      </c>
      <c r="K334" s="26">
        <f t="shared" si="19"/>
        <v>0.020000179876114414</v>
      </c>
      <c r="L334" s="151">
        <v>41795</v>
      </c>
      <c r="M334" s="151">
        <v>41830</v>
      </c>
      <c r="N334" s="18">
        <f>3424579.2/2446128</f>
        <v>1.4000000000000001</v>
      </c>
      <c r="O334" s="137">
        <f t="shared" si="20"/>
        <v>0.014285842768653152</v>
      </c>
      <c r="P334" s="57"/>
    </row>
    <row r="335" spans="1:16" s="101" customFormat="1" ht="22.5">
      <c r="A335" s="6" t="s">
        <v>1136</v>
      </c>
      <c r="B335" s="63" t="s">
        <v>307</v>
      </c>
      <c r="C335" s="13" t="s">
        <v>1132</v>
      </c>
      <c r="D335" s="13" t="s">
        <v>1133</v>
      </c>
      <c r="E335" s="13" t="s">
        <v>1012</v>
      </c>
      <c r="F335" s="3" t="s">
        <v>1134</v>
      </c>
      <c r="G335" s="13" t="s">
        <v>1137</v>
      </c>
      <c r="H335" s="36">
        <v>10</v>
      </c>
      <c r="I335" s="15">
        <v>2488000</v>
      </c>
      <c r="J335" s="15">
        <v>49760</v>
      </c>
      <c r="K335" s="26">
        <f t="shared" si="19"/>
        <v>0.02</v>
      </c>
      <c r="L335" s="151">
        <v>41795</v>
      </c>
      <c r="M335" s="151">
        <v>41830</v>
      </c>
      <c r="N335" s="18">
        <f>2858091.83/2488000</f>
        <v>1.1487507355305466</v>
      </c>
      <c r="O335" s="137">
        <f t="shared" si="20"/>
        <v>0.017410217361700377</v>
      </c>
      <c r="P335" s="57"/>
    </row>
    <row r="336" spans="1:16" s="101" customFormat="1" ht="33.75">
      <c r="A336" s="6" t="s">
        <v>33</v>
      </c>
      <c r="B336" s="63" t="s">
        <v>307</v>
      </c>
      <c r="C336" s="13" t="s">
        <v>810</v>
      </c>
      <c r="D336" s="13" t="s">
        <v>34</v>
      </c>
      <c r="E336" s="13" t="s">
        <v>1012</v>
      </c>
      <c r="F336" s="3" t="s">
        <v>852</v>
      </c>
      <c r="G336" s="13" t="s">
        <v>35</v>
      </c>
      <c r="H336" s="36">
        <v>10</v>
      </c>
      <c r="I336" s="15">
        <v>3294563</v>
      </c>
      <c r="J336" s="15">
        <v>160380</v>
      </c>
      <c r="K336" s="26">
        <f t="shared" si="19"/>
        <v>0.04868020432451891</v>
      </c>
      <c r="L336" s="151">
        <v>41908</v>
      </c>
      <c r="M336" s="151">
        <v>41940</v>
      </c>
      <c r="N336" s="18">
        <f>9422450.18/3294563</f>
        <v>2.86</v>
      </c>
      <c r="O336" s="137">
        <f t="shared" si="20"/>
        <v>0.0170210504631185</v>
      </c>
      <c r="P336" s="57"/>
    </row>
    <row r="337" spans="1:16" s="101" customFormat="1" ht="22.5">
      <c r="A337" s="6" t="s">
        <v>520</v>
      </c>
      <c r="B337" s="63" t="s">
        <v>307</v>
      </c>
      <c r="C337" s="13" t="s">
        <v>1073</v>
      </c>
      <c r="D337" s="13" t="s">
        <v>521</v>
      </c>
      <c r="E337" s="13" t="s">
        <v>1012</v>
      </c>
      <c r="F337" s="3" t="s">
        <v>1008</v>
      </c>
      <c r="G337" s="13" t="s">
        <v>522</v>
      </c>
      <c r="H337" s="36">
        <v>10</v>
      </c>
      <c r="I337" s="15">
        <v>190000</v>
      </c>
      <c r="J337" s="15">
        <v>7600</v>
      </c>
      <c r="K337" s="26">
        <f t="shared" si="19"/>
        <v>0.04</v>
      </c>
      <c r="L337" s="151">
        <v>41924</v>
      </c>
      <c r="M337" s="151">
        <v>41957</v>
      </c>
      <c r="N337" s="18">
        <f>1003200/190000</f>
        <v>5.28</v>
      </c>
      <c r="O337" s="137">
        <f t="shared" si="20"/>
        <v>0.007575757575757576</v>
      </c>
      <c r="P337" s="57"/>
    </row>
    <row r="338" spans="1:16" s="101" customFormat="1" ht="33.75">
      <c r="A338" s="6" t="s">
        <v>554</v>
      </c>
      <c r="B338" s="63" t="s">
        <v>307</v>
      </c>
      <c r="C338" s="13" t="s">
        <v>1073</v>
      </c>
      <c r="D338" s="13" t="s">
        <v>555</v>
      </c>
      <c r="E338" s="13" t="s">
        <v>1012</v>
      </c>
      <c r="F338" s="3" t="s">
        <v>1008</v>
      </c>
      <c r="G338" s="13" t="s">
        <v>556</v>
      </c>
      <c r="H338" s="36">
        <v>10</v>
      </c>
      <c r="I338" s="15">
        <v>238675</v>
      </c>
      <c r="J338" s="15">
        <v>9500</v>
      </c>
      <c r="K338" s="26">
        <f t="shared" si="19"/>
        <v>0.039803079501414054</v>
      </c>
      <c r="L338" s="151">
        <v>41927</v>
      </c>
      <c r="M338" s="151">
        <v>41956</v>
      </c>
      <c r="N338" s="18">
        <f>1159960.5/238675</f>
        <v>4.86</v>
      </c>
      <c r="O338" s="137">
        <f t="shared" si="20"/>
        <v>0.0081899340537889</v>
      </c>
      <c r="P338" s="57"/>
    </row>
    <row r="339" spans="1:16" s="101" customFormat="1" ht="22.5">
      <c r="A339" s="6" t="s">
        <v>644</v>
      </c>
      <c r="B339" s="63" t="s">
        <v>307</v>
      </c>
      <c r="C339" s="13" t="s">
        <v>1073</v>
      </c>
      <c r="D339" s="13" t="s">
        <v>642</v>
      </c>
      <c r="E339" s="13" t="s">
        <v>1012</v>
      </c>
      <c r="F339" s="3" t="s">
        <v>1008</v>
      </c>
      <c r="G339" s="13" t="s">
        <v>645</v>
      </c>
      <c r="H339" s="36">
        <v>10</v>
      </c>
      <c r="I339" s="15">
        <v>190714</v>
      </c>
      <c r="J339" s="15">
        <v>7600</v>
      </c>
      <c r="K339" s="26">
        <f t="shared" si="19"/>
        <v>0.039850246966662124</v>
      </c>
      <c r="L339" s="151">
        <v>41906</v>
      </c>
      <c r="M339" s="151">
        <v>41935</v>
      </c>
      <c r="N339" s="18">
        <f>741877.46/190714</f>
        <v>3.8899999999999997</v>
      </c>
      <c r="O339" s="137">
        <f t="shared" si="20"/>
        <v>0.010244279425877153</v>
      </c>
      <c r="P339" s="57"/>
    </row>
    <row r="340" spans="1:16" s="101" customFormat="1" ht="22.5">
      <c r="A340" s="6" t="s">
        <v>641</v>
      </c>
      <c r="B340" s="63" t="s">
        <v>307</v>
      </c>
      <c r="C340" s="13" t="s">
        <v>1073</v>
      </c>
      <c r="D340" s="13" t="s">
        <v>642</v>
      </c>
      <c r="E340" s="13" t="s">
        <v>1012</v>
      </c>
      <c r="F340" s="3" t="s">
        <v>1008</v>
      </c>
      <c r="G340" s="13" t="s">
        <v>643</v>
      </c>
      <c r="H340" s="36">
        <v>10</v>
      </c>
      <c r="I340" s="15">
        <v>629106</v>
      </c>
      <c r="J340" s="15">
        <v>25200</v>
      </c>
      <c r="K340" s="26">
        <f t="shared" si="19"/>
        <v>0.04005684256707137</v>
      </c>
      <c r="L340" s="151">
        <v>41906</v>
      </c>
      <c r="M340" s="151">
        <v>41935</v>
      </c>
      <c r="N340" s="18">
        <f>2447222.34/629106</f>
        <v>3.8899999999999997</v>
      </c>
      <c r="O340" s="137">
        <f t="shared" si="20"/>
        <v>0.010297388834722719</v>
      </c>
      <c r="P340" s="57"/>
    </row>
    <row r="341" spans="1:16" s="101" customFormat="1" ht="22.5">
      <c r="A341" s="6" t="s">
        <v>646</v>
      </c>
      <c r="B341" s="63" t="s">
        <v>307</v>
      </c>
      <c r="C341" s="13" t="s">
        <v>1073</v>
      </c>
      <c r="D341" s="13" t="s">
        <v>642</v>
      </c>
      <c r="E341" s="13" t="s">
        <v>1012</v>
      </c>
      <c r="F341" s="3" t="s">
        <v>1008</v>
      </c>
      <c r="G341" s="13" t="s">
        <v>647</v>
      </c>
      <c r="H341" s="36">
        <v>10</v>
      </c>
      <c r="I341" s="15">
        <v>274364</v>
      </c>
      <c r="J341" s="15">
        <v>11000</v>
      </c>
      <c r="K341" s="26">
        <f t="shared" si="19"/>
        <v>0.04009272353515767</v>
      </c>
      <c r="L341" s="151">
        <v>41906</v>
      </c>
      <c r="M341" s="151">
        <v>41935</v>
      </c>
      <c r="N341" s="18">
        <f>1067275.96/274364</f>
        <v>3.8899999999999997</v>
      </c>
      <c r="O341" s="137">
        <f t="shared" si="20"/>
        <v>0.010306612733973696</v>
      </c>
      <c r="P341" s="57"/>
    </row>
    <row r="342" spans="1:16" s="101" customFormat="1" ht="22.5">
      <c r="A342" s="6" t="s">
        <v>729</v>
      </c>
      <c r="B342" s="63" t="s">
        <v>307</v>
      </c>
      <c r="C342" s="13" t="s">
        <v>1073</v>
      </c>
      <c r="D342" s="13" t="s">
        <v>730</v>
      </c>
      <c r="E342" s="13" t="s">
        <v>1012</v>
      </c>
      <c r="F342" s="3" t="s">
        <v>1008</v>
      </c>
      <c r="G342" s="13" t="s">
        <v>731</v>
      </c>
      <c r="H342" s="36">
        <v>10</v>
      </c>
      <c r="I342" s="15">
        <v>92282</v>
      </c>
      <c r="J342" s="15">
        <v>6000</v>
      </c>
      <c r="K342" s="26">
        <f t="shared" si="19"/>
        <v>0.0650180967035825</v>
      </c>
      <c r="L342" s="151">
        <v>41661</v>
      </c>
      <c r="M342" s="151">
        <v>41696</v>
      </c>
      <c r="N342" s="18">
        <f>431879.76/92282</f>
        <v>4.68</v>
      </c>
      <c r="O342" s="16">
        <f t="shared" si="20"/>
        <v>0.013892755705893696</v>
      </c>
      <c r="P342" s="57"/>
    </row>
    <row r="343" spans="1:16" s="101" customFormat="1" ht="22.5">
      <c r="A343" s="6" t="s">
        <v>394</v>
      </c>
      <c r="B343" s="63" t="s">
        <v>307</v>
      </c>
      <c r="C343" s="13" t="s">
        <v>379</v>
      </c>
      <c r="D343" s="13" t="s">
        <v>390</v>
      </c>
      <c r="E343" s="13" t="s">
        <v>1012</v>
      </c>
      <c r="F343" s="3" t="s">
        <v>387</v>
      </c>
      <c r="G343" s="13" t="s">
        <v>395</v>
      </c>
      <c r="H343" s="36">
        <v>49</v>
      </c>
      <c r="I343" s="15">
        <v>236759</v>
      </c>
      <c r="J343" s="15">
        <v>989.65</v>
      </c>
      <c r="K343" s="26">
        <f t="shared" si="19"/>
        <v>0.004179988933894804</v>
      </c>
      <c r="L343" s="151">
        <v>41773</v>
      </c>
      <c r="M343" s="151">
        <v>41806</v>
      </c>
      <c r="N343" s="18">
        <f>733952.9/236759</f>
        <v>3.1</v>
      </c>
      <c r="O343" s="137">
        <f t="shared" si="20"/>
        <v>0.00134838352706284</v>
      </c>
      <c r="P343" s="57"/>
    </row>
    <row r="344" spans="1:16" s="101" customFormat="1" ht="22.5">
      <c r="A344" s="6" t="s">
        <v>389</v>
      </c>
      <c r="B344" s="13" t="s">
        <v>307</v>
      </c>
      <c r="C344" s="13" t="s">
        <v>379</v>
      </c>
      <c r="D344" s="13" t="s">
        <v>390</v>
      </c>
      <c r="E344" s="13" t="s">
        <v>1012</v>
      </c>
      <c r="F344" s="3" t="s">
        <v>1008</v>
      </c>
      <c r="G344" s="13" t="s">
        <v>391</v>
      </c>
      <c r="H344" s="36">
        <v>49</v>
      </c>
      <c r="I344" s="15">
        <v>768004</v>
      </c>
      <c r="J344" s="15">
        <v>3210.26</v>
      </c>
      <c r="K344" s="26">
        <f t="shared" si="19"/>
        <v>0.00418000427081109</v>
      </c>
      <c r="L344" s="151">
        <v>41773</v>
      </c>
      <c r="M344" s="151">
        <v>41806</v>
      </c>
      <c r="N344" s="18">
        <f>2380812.4/768004</f>
        <v>3.1</v>
      </c>
      <c r="O344" s="137">
        <f t="shared" si="20"/>
        <v>0.0013483884744551903</v>
      </c>
      <c r="P344" s="57"/>
    </row>
    <row r="345" spans="1:16" s="101" customFormat="1" ht="22.5">
      <c r="A345" s="6" t="s">
        <v>392</v>
      </c>
      <c r="B345" s="63" t="s">
        <v>307</v>
      </c>
      <c r="C345" s="13" t="s">
        <v>379</v>
      </c>
      <c r="D345" s="13" t="s">
        <v>390</v>
      </c>
      <c r="E345" s="13" t="s">
        <v>1012</v>
      </c>
      <c r="F345" s="3" t="s">
        <v>1008</v>
      </c>
      <c r="G345" s="13" t="s">
        <v>393</v>
      </c>
      <c r="H345" s="36">
        <v>49</v>
      </c>
      <c r="I345" s="15">
        <v>747858</v>
      </c>
      <c r="J345" s="15">
        <v>3499.98</v>
      </c>
      <c r="K345" s="26">
        <f t="shared" si="19"/>
        <v>0.004680006097414215</v>
      </c>
      <c r="L345" s="151">
        <v>41773</v>
      </c>
      <c r="M345" s="151">
        <v>41806</v>
      </c>
      <c r="N345" s="18">
        <f>2318359.8/747858</f>
        <v>3.0999999999999996</v>
      </c>
      <c r="O345" s="137">
        <f t="shared" si="20"/>
        <v>0.0015096793862626502</v>
      </c>
      <c r="P345" s="57"/>
    </row>
    <row r="346" spans="1:16" s="101" customFormat="1" ht="33.75">
      <c r="A346" s="6" t="s">
        <v>378</v>
      </c>
      <c r="B346" s="63" t="s">
        <v>307</v>
      </c>
      <c r="C346" s="13" t="s">
        <v>379</v>
      </c>
      <c r="D346" s="13" t="s">
        <v>380</v>
      </c>
      <c r="E346" s="13" t="s">
        <v>1012</v>
      </c>
      <c r="F346" s="3" t="s">
        <v>381</v>
      </c>
      <c r="G346" s="13" t="s">
        <v>382</v>
      </c>
      <c r="H346" s="36">
        <v>49</v>
      </c>
      <c r="I346" s="15">
        <v>6287048</v>
      </c>
      <c r="J346" s="15">
        <v>24896.71</v>
      </c>
      <c r="K346" s="26">
        <f t="shared" si="19"/>
        <v>0.003959999987275427</v>
      </c>
      <c r="L346" s="151">
        <v>41773</v>
      </c>
      <c r="M346" s="151">
        <v>41806</v>
      </c>
      <c r="N346" s="18">
        <f>14208728.48/6287048</f>
        <v>2.2600000000000002</v>
      </c>
      <c r="O346" s="137">
        <f t="shared" si="20"/>
        <v>0.0017522123837501887</v>
      </c>
      <c r="P346" s="57"/>
    </row>
    <row r="347" spans="1:16" s="101" customFormat="1" ht="22.5">
      <c r="A347" s="6" t="s">
        <v>383</v>
      </c>
      <c r="B347" s="63" t="s">
        <v>307</v>
      </c>
      <c r="C347" s="13" t="s">
        <v>379</v>
      </c>
      <c r="D347" s="13" t="s">
        <v>380</v>
      </c>
      <c r="E347" s="13" t="s">
        <v>1012</v>
      </c>
      <c r="F347" s="3" t="s">
        <v>384</v>
      </c>
      <c r="G347" s="13" t="s">
        <v>385</v>
      </c>
      <c r="H347" s="36">
        <v>49</v>
      </c>
      <c r="I347" s="15">
        <v>687998</v>
      </c>
      <c r="J347" s="15">
        <v>2875.83</v>
      </c>
      <c r="K347" s="26">
        <f t="shared" si="19"/>
        <v>0.0041799976162721405</v>
      </c>
      <c r="L347" s="151">
        <v>41773</v>
      </c>
      <c r="M347" s="151">
        <v>41806</v>
      </c>
      <c r="N347" s="18">
        <f>1554875.48/687998</f>
        <v>2.26</v>
      </c>
      <c r="O347" s="137">
        <f t="shared" si="20"/>
        <v>0.0018495564673770535</v>
      </c>
      <c r="P347" s="57"/>
    </row>
    <row r="348" spans="1:16" s="101" customFormat="1" ht="22.5">
      <c r="A348" s="6" t="s">
        <v>386</v>
      </c>
      <c r="B348" s="63" t="s">
        <v>307</v>
      </c>
      <c r="C348" s="13" t="s">
        <v>379</v>
      </c>
      <c r="D348" s="13" t="s">
        <v>380</v>
      </c>
      <c r="E348" s="13" t="s">
        <v>1012</v>
      </c>
      <c r="F348" s="3" t="s">
        <v>387</v>
      </c>
      <c r="G348" s="13" t="s">
        <v>388</v>
      </c>
      <c r="H348" s="36">
        <v>49</v>
      </c>
      <c r="I348" s="15">
        <v>96043</v>
      </c>
      <c r="J348" s="15">
        <v>401.46</v>
      </c>
      <c r="K348" s="26">
        <f t="shared" si="19"/>
        <v>0.0041800027071207686</v>
      </c>
      <c r="L348" s="151">
        <v>41773</v>
      </c>
      <c r="M348" s="151">
        <v>41806</v>
      </c>
      <c r="N348" s="18">
        <f>217057.18/96043</f>
        <v>2.26</v>
      </c>
      <c r="O348" s="137">
        <f t="shared" si="20"/>
        <v>0.0018495587199649421</v>
      </c>
      <c r="P348" s="57"/>
    </row>
    <row r="349" spans="1:16" s="101" customFormat="1" ht="33.75">
      <c r="A349" s="6" t="s">
        <v>396</v>
      </c>
      <c r="B349" s="63" t="s">
        <v>307</v>
      </c>
      <c r="C349" s="13" t="s">
        <v>379</v>
      </c>
      <c r="D349" s="13" t="s">
        <v>397</v>
      </c>
      <c r="E349" s="13" t="s">
        <v>1012</v>
      </c>
      <c r="F349" s="3" t="s">
        <v>398</v>
      </c>
      <c r="G349" s="13" t="s">
        <v>399</v>
      </c>
      <c r="H349" s="36">
        <v>49</v>
      </c>
      <c r="I349" s="15">
        <v>480003</v>
      </c>
      <c r="J349" s="15">
        <v>2467.22</v>
      </c>
      <c r="K349" s="26">
        <f t="shared" si="19"/>
        <v>0.005140009541607031</v>
      </c>
      <c r="L349" s="151">
        <v>41773</v>
      </c>
      <c r="M349" s="151">
        <v>41806</v>
      </c>
      <c r="N349" s="18">
        <f>1257607.86/480003</f>
        <v>2.62</v>
      </c>
      <c r="O349" s="137">
        <f t="shared" si="20"/>
        <v>0.0019618357029034467</v>
      </c>
      <c r="P349" s="57"/>
    </row>
    <row r="350" spans="1:16" s="101" customFormat="1" ht="22.5">
      <c r="A350" s="6" t="s">
        <v>528</v>
      </c>
      <c r="B350" s="63" t="s">
        <v>307</v>
      </c>
      <c r="C350" s="13" t="s">
        <v>379</v>
      </c>
      <c r="D350" s="13" t="s">
        <v>529</v>
      </c>
      <c r="E350" s="13" t="s">
        <v>1012</v>
      </c>
      <c r="F350" s="3" t="s">
        <v>1008</v>
      </c>
      <c r="G350" s="13" t="s">
        <v>530</v>
      </c>
      <c r="H350" s="36">
        <v>49</v>
      </c>
      <c r="I350" s="15">
        <v>853528</v>
      </c>
      <c r="J350" s="15">
        <v>6094.19</v>
      </c>
      <c r="K350" s="26">
        <f t="shared" si="19"/>
        <v>0.007140000093728617</v>
      </c>
      <c r="L350" s="151">
        <v>41955</v>
      </c>
      <c r="M350" s="151">
        <v>41988</v>
      </c>
      <c r="N350" s="18">
        <f>2517907.6/853528</f>
        <v>2.95</v>
      </c>
      <c r="O350" s="137">
        <f t="shared" si="20"/>
        <v>0.00242033901482326</v>
      </c>
      <c r="P350" s="57"/>
    </row>
    <row r="351" spans="1:16" s="101" customFormat="1" ht="22.5">
      <c r="A351" s="6" t="s">
        <v>531</v>
      </c>
      <c r="B351" s="63" t="s">
        <v>307</v>
      </c>
      <c r="C351" s="13" t="s">
        <v>379</v>
      </c>
      <c r="D351" s="13" t="s">
        <v>529</v>
      </c>
      <c r="E351" s="13" t="s">
        <v>1012</v>
      </c>
      <c r="F351" s="3" t="s">
        <v>1008</v>
      </c>
      <c r="G351" s="13" t="s">
        <v>532</v>
      </c>
      <c r="H351" s="36">
        <v>49</v>
      </c>
      <c r="I351" s="15">
        <v>600000</v>
      </c>
      <c r="J351" s="15">
        <v>4194</v>
      </c>
      <c r="K351" s="26">
        <f t="shared" si="19"/>
        <v>0.00699</v>
      </c>
      <c r="L351" s="151">
        <v>41955</v>
      </c>
      <c r="M351" s="151">
        <v>41988</v>
      </c>
      <c r="N351" s="18">
        <f>1770000/600000</f>
        <v>2.95</v>
      </c>
      <c r="O351" s="137">
        <f t="shared" si="20"/>
        <v>0.0023694915254237284</v>
      </c>
      <c r="P351" s="57"/>
    </row>
    <row r="352" spans="1:16" s="101" customFormat="1" ht="33.75">
      <c r="A352" s="6" t="s">
        <v>36</v>
      </c>
      <c r="B352" s="63" t="s">
        <v>307</v>
      </c>
      <c r="C352" s="13" t="s">
        <v>379</v>
      </c>
      <c r="D352" s="13" t="s">
        <v>397</v>
      </c>
      <c r="E352" s="13" t="s">
        <v>1012</v>
      </c>
      <c r="F352" s="3" t="s">
        <v>381</v>
      </c>
      <c r="G352" s="13" t="s">
        <v>37</v>
      </c>
      <c r="H352" s="36">
        <v>49</v>
      </c>
      <c r="I352" s="15">
        <v>5832744</v>
      </c>
      <c r="J352" s="15">
        <v>44970.46</v>
      </c>
      <c r="K352" s="26">
        <f t="shared" si="19"/>
        <v>0.007710000644636555</v>
      </c>
      <c r="L352" s="151">
        <v>41969</v>
      </c>
      <c r="M352" s="151">
        <v>42002</v>
      </c>
      <c r="N352" s="18">
        <f>15275792.1/5830455</f>
        <v>2.62</v>
      </c>
      <c r="O352" s="137">
        <f t="shared" si="20"/>
        <v>0.00294274833764754</v>
      </c>
      <c r="P352" s="57"/>
    </row>
    <row r="353" spans="1:16" s="101" customFormat="1" ht="33.75">
      <c r="A353" s="6" t="s">
        <v>38</v>
      </c>
      <c r="B353" s="63" t="s">
        <v>307</v>
      </c>
      <c r="C353" s="63" t="s">
        <v>379</v>
      </c>
      <c r="D353" s="13" t="s">
        <v>397</v>
      </c>
      <c r="E353" s="13" t="s">
        <v>1012</v>
      </c>
      <c r="F353" s="3" t="s">
        <v>381</v>
      </c>
      <c r="G353" s="13" t="s">
        <v>39</v>
      </c>
      <c r="H353" s="36">
        <v>49</v>
      </c>
      <c r="I353" s="15">
        <v>718999</v>
      </c>
      <c r="J353" s="15">
        <v>4508.12</v>
      </c>
      <c r="K353" s="26">
        <f t="shared" si="19"/>
        <v>0.006269994812232006</v>
      </c>
      <c r="L353" s="151">
        <v>41969</v>
      </c>
      <c r="M353" s="151">
        <v>42002</v>
      </c>
      <c r="N353" s="18">
        <f>1883119.76/718748</f>
        <v>2.62</v>
      </c>
      <c r="O353" s="137">
        <f t="shared" si="20"/>
        <v>0.002393127790928246</v>
      </c>
      <c r="P353" s="57"/>
    </row>
    <row r="354" spans="1:16" s="101" customFormat="1" ht="33.75">
      <c r="A354" s="6" t="s">
        <v>40</v>
      </c>
      <c r="B354" s="63" t="s">
        <v>307</v>
      </c>
      <c r="C354" s="63" t="s">
        <v>379</v>
      </c>
      <c r="D354" s="13" t="s">
        <v>397</v>
      </c>
      <c r="E354" s="13" t="s">
        <v>1012</v>
      </c>
      <c r="F354" s="3" t="s">
        <v>381</v>
      </c>
      <c r="G354" s="13" t="s">
        <v>41</v>
      </c>
      <c r="H354" s="36">
        <v>49</v>
      </c>
      <c r="I354" s="15">
        <v>3742670</v>
      </c>
      <c r="J354" s="15">
        <v>28856</v>
      </c>
      <c r="K354" s="26">
        <f t="shared" si="19"/>
        <v>0.007710003820801727</v>
      </c>
      <c r="L354" s="151">
        <v>41969</v>
      </c>
      <c r="M354" s="151">
        <v>42002</v>
      </c>
      <c r="N354" s="18">
        <f>9801192.06/3740913</f>
        <v>2.62</v>
      </c>
      <c r="O354" s="137">
        <f t="shared" si="20"/>
        <v>0.0029427495499243232</v>
      </c>
      <c r="P354" s="57"/>
    </row>
    <row r="355" spans="1:16" s="101" customFormat="1" ht="33.75">
      <c r="A355" s="6" t="s">
        <v>42</v>
      </c>
      <c r="B355" s="63" t="s">
        <v>307</v>
      </c>
      <c r="C355" s="13" t="s">
        <v>379</v>
      </c>
      <c r="D355" s="13" t="s">
        <v>397</v>
      </c>
      <c r="E355" s="13" t="s">
        <v>1012</v>
      </c>
      <c r="F355" s="3" t="s">
        <v>381</v>
      </c>
      <c r="G355" s="13" t="s">
        <v>43</v>
      </c>
      <c r="H355" s="36">
        <v>49</v>
      </c>
      <c r="I355" s="15">
        <v>522444</v>
      </c>
      <c r="J355" s="15">
        <v>4028.04</v>
      </c>
      <c r="K355" s="26">
        <f t="shared" si="19"/>
        <v>0.00770999379837839</v>
      </c>
      <c r="L355" s="151">
        <v>41969</v>
      </c>
      <c r="M355" s="151">
        <v>42002</v>
      </c>
      <c r="N355" s="18">
        <f>1368145.66/522193</f>
        <v>2.6199999999999997</v>
      </c>
      <c r="O355" s="137">
        <f t="shared" si="20"/>
        <v>0.002942745724571905</v>
      </c>
      <c r="P355" s="57"/>
    </row>
    <row r="356" spans="1:16" s="101" customFormat="1" ht="33.75">
      <c r="A356" s="6" t="s">
        <v>44</v>
      </c>
      <c r="B356" s="63" t="s">
        <v>307</v>
      </c>
      <c r="C356" s="63" t="s">
        <v>379</v>
      </c>
      <c r="D356" s="13" t="s">
        <v>397</v>
      </c>
      <c r="E356" s="13" t="s">
        <v>1012</v>
      </c>
      <c r="F356" s="3" t="s">
        <v>381</v>
      </c>
      <c r="G356" s="13" t="s">
        <v>45</v>
      </c>
      <c r="H356" s="36">
        <v>49</v>
      </c>
      <c r="I356" s="15">
        <v>686888</v>
      </c>
      <c r="J356" s="15">
        <v>5295.91</v>
      </c>
      <c r="K356" s="26">
        <f t="shared" si="19"/>
        <v>0.007710005124561791</v>
      </c>
      <c r="L356" s="151">
        <v>41969</v>
      </c>
      <c r="M356" s="151">
        <v>42002</v>
      </c>
      <c r="N356" s="18">
        <f>1799646.56/686888</f>
        <v>2.62</v>
      </c>
      <c r="O356" s="137">
        <f t="shared" si="20"/>
        <v>0.002942750047542668</v>
      </c>
      <c r="P356" s="57"/>
    </row>
    <row r="357" spans="1:16" s="101" customFormat="1" ht="33.75">
      <c r="A357" s="6" t="s">
        <v>46</v>
      </c>
      <c r="B357" s="63" t="s">
        <v>307</v>
      </c>
      <c r="C357" s="63" t="s">
        <v>379</v>
      </c>
      <c r="D357" s="13" t="s">
        <v>397</v>
      </c>
      <c r="E357" s="13" t="s">
        <v>1012</v>
      </c>
      <c r="F357" s="3" t="s">
        <v>381</v>
      </c>
      <c r="G357" s="13" t="s">
        <v>47</v>
      </c>
      <c r="H357" s="36">
        <v>49</v>
      </c>
      <c r="I357" s="15">
        <v>768960</v>
      </c>
      <c r="J357" s="15">
        <v>5928.68</v>
      </c>
      <c r="K357" s="26">
        <f t="shared" si="19"/>
        <v>0.007709997919267583</v>
      </c>
      <c r="L357" s="151">
        <v>41969</v>
      </c>
      <c r="M357" s="151">
        <v>42002</v>
      </c>
      <c r="N357" s="18">
        <f>2014675.2/768960</f>
        <v>2.62</v>
      </c>
      <c r="O357" s="137">
        <f t="shared" si="20"/>
        <v>0.002942747297430375</v>
      </c>
      <c r="P357" s="57"/>
    </row>
    <row r="358" spans="1:16" s="101" customFormat="1" ht="33.75">
      <c r="A358" s="6" t="s">
        <v>48</v>
      </c>
      <c r="B358" s="63" t="s">
        <v>307</v>
      </c>
      <c r="C358" s="13" t="s">
        <v>379</v>
      </c>
      <c r="D358" s="13" t="s">
        <v>397</v>
      </c>
      <c r="E358" s="13" t="s">
        <v>1012</v>
      </c>
      <c r="F358" s="3" t="s">
        <v>381</v>
      </c>
      <c r="G358" s="13" t="s">
        <v>49</v>
      </c>
      <c r="H358" s="36">
        <v>49</v>
      </c>
      <c r="I358" s="15">
        <v>644444</v>
      </c>
      <c r="J358" s="15">
        <v>4968.66</v>
      </c>
      <c r="K358" s="26">
        <f t="shared" si="19"/>
        <v>0.007709994972410325</v>
      </c>
      <c r="L358" s="151">
        <v>41969</v>
      </c>
      <c r="M358" s="151">
        <v>42002</v>
      </c>
      <c r="N358" s="18">
        <f>1688443.28/644444</f>
        <v>2.62</v>
      </c>
      <c r="O358" s="137">
        <f t="shared" si="20"/>
        <v>0.0029427461726756966</v>
      </c>
      <c r="P358" s="57"/>
    </row>
    <row r="359" spans="1:16" s="101" customFormat="1" ht="33.75">
      <c r="A359" s="6" t="s">
        <v>50</v>
      </c>
      <c r="B359" s="63" t="s">
        <v>307</v>
      </c>
      <c r="C359" s="13" t="s">
        <v>379</v>
      </c>
      <c r="D359" s="13" t="s">
        <v>397</v>
      </c>
      <c r="E359" s="13" t="s">
        <v>1012</v>
      </c>
      <c r="F359" s="3" t="s">
        <v>381</v>
      </c>
      <c r="G359" s="13" t="s">
        <v>51</v>
      </c>
      <c r="H359" s="36">
        <v>49</v>
      </c>
      <c r="I359" s="15">
        <v>4344086</v>
      </c>
      <c r="J359" s="15">
        <v>33492.9</v>
      </c>
      <c r="K359" s="26">
        <f t="shared" si="19"/>
        <v>0.0077099992955940565</v>
      </c>
      <c r="L359" s="151">
        <v>41969</v>
      </c>
      <c r="M359" s="151">
        <v>42002</v>
      </c>
      <c r="N359" s="18">
        <f>11381505.32/4344086</f>
        <v>2.62</v>
      </c>
      <c r="O359" s="137">
        <f t="shared" si="20"/>
        <v>0.002942747822745823</v>
      </c>
      <c r="P359" s="57"/>
    </row>
    <row r="360" spans="1:16" s="101" customFormat="1" ht="33.75">
      <c r="A360" s="6" t="s">
        <v>52</v>
      </c>
      <c r="B360" s="63" t="s">
        <v>307</v>
      </c>
      <c r="C360" s="13" t="s">
        <v>379</v>
      </c>
      <c r="D360" s="13" t="s">
        <v>397</v>
      </c>
      <c r="E360" s="13" t="s">
        <v>1012</v>
      </c>
      <c r="F360" s="3" t="s">
        <v>381</v>
      </c>
      <c r="G360" s="13" t="s">
        <v>53</v>
      </c>
      <c r="H360" s="36">
        <v>49</v>
      </c>
      <c r="I360" s="15">
        <v>3644778</v>
      </c>
      <c r="J360" s="15">
        <v>26023.72</v>
      </c>
      <c r="K360" s="26">
        <f aca="true" t="shared" si="21" ref="K360:K377">J360/I360</f>
        <v>0.007140001393774875</v>
      </c>
      <c r="L360" s="151">
        <v>41969</v>
      </c>
      <c r="M360" s="151">
        <v>42002</v>
      </c>
      <c r="N360" s="18">
        <f>9549318.36/3644778</f>
        <v>2.6199999999999997</v>
      </c>
      <c r="O360" s="137">
        <f aca="true" t="shared" si="22" ref="O360:O377">K360/N360</f>
        <v>0.0027251913716698</v>
      </c>
      <c r="P360" s="57"/>
    </row>
    <row r="361" spans="1:16" s="101" customFormat="1" ht="33.75">
      <c r="A361" s="6" t="s">
        <v>54</v>
      </c>
      <c r="B361" s="63" t="s">
        <v>307</v>
      </c>
      <c r="C361" s="13" t="s">
        <v>379</v>
      </c>
      <c r="D361" s="13" t="s">
        <v>397</v>
      </c>
      <c r="E361" s="13" t="s">
        <v>1012</v>
      </c>
      <c r="F361" s="3" t="s">
        <v>381</v>
      </c>
      <c r="G361" s="13" t="s">
        <v>55</v>
      </c>
      <c r="H361" s="36">
        <v>49</v>
      </c>
      <c r="I361" s="15">
        <v>138768</v>
      </c>
      <c r="J361" s="15">
        <v>870.08</v>
      </c>
      <c r="K361" s="26">
        <f t="shared" si="21"/>
        <v>0.006270033437103656</v>
      </c>
      <c r="L361" s="151">
        <v>41969</v>
      </c>
      <c r="M361" s="151">
        <v>42002</v>
      </c>
      <c r="N361" s="18">
        <f>363572.16/138768</f>
        <v>2.6199999999999997</v>
      </c>
      <c r="O361" s="137">
        <f t="shared" si="22"/>
        <v>0.0023931425332456703</v>
      </c>
      <c r="P361" s="57"/>
    </row>
    <row r="362" spans="1:16" s="101" customFormat="1" ht="22.5">
      <c r="A362" s="6" t="s">
        <v>56</v>
      </c>
      <c r="B362" s="63" t="s">
        <v>307</v>
      </c>
      <c r="C362" s="13" t="s">
        <v>379</v>
      </c>
      <c r="D362" s="13" t="s">
        <v>397</v>
      </c>
      <c r="E362" s="13" t="s">
        <v>1012</v>
      </c>
      <c r="F362" s="3" t="s">
        <v>387</v>
      </c>
      <c r="G362" s="13" t="s">
        <v>57</v>
      </c>
      <c r="H362" s="36">
        <v>49</v>
      </c>
      <c r="I362" s="15">
        <v>427757</v>
      </c>
      <c r="J362" s="15">
        <v>2682.04</v>
      </c>
      <c r="K362" s="26">
        <f t="shared" si="21"/>
        <v>0.006270008439370952</v>
      </c>
      <c r="L362" s="151">
        <v>41969</v>
      </c>
      <c r="M362" s="151">
        <v>42002</v>
      </c>
      <c r="N362" s="18">
        <f>1120723.34/427757</f>
        <v>2.62</v>
      </c>
      <c r="O362" s="16">
        <f t="shared" si="22"/>
        <v>0.0023931329921263174</v>
      </c>
      <c r="P362" s="57"/>
    </row>
    <row r="363" spans="1:16" s="101" customFormat="1" ht="22.5">
      <c r="A363" s="6" t="s">
        <v>876</v>
      </c>
      <c r="B363" s="63" t="s">
        <v>307</v>
      </c>
      <c r="C363" s="13" t="s">
        <v>375</v>
      </c>
      <c r="D363" s="13" t="s">
        <v>877</v>
      </c>
      <c r="E363" s="13" t="s">
        <v>1012</v>
      </c>
      <c r="F363" s="3" t="s">
        <v>1107</v>
      </c>
      <c r="G363" s="13" t="s">
        <v>878</v>
      </c>
      <c r="H363" s="36">
        <v>49</v>
      </c>
      <c r="I363" s="15">
        <v>1029133</v>
      </c>
      <c r="J363" s="15">
        <v>10293</v>
      </c>
      <c r="K363" s="26">
        <f t="shared" si="21"/>
        <v>0.010001622725148256</v>
      </c>
      <c r="L363" s="151">
        <v>41785</v>
      </c>
      <c r="M363" s="151">
        <v>41823</v>
      </c>
      <c r="N363" s="18">
        <f>7173057.01/1029133</f>
        <v>6.97</v>
      </c>
      <c r="O363" s="137">
        <f t="shared" si="22"/>
        <v>0.0014349530452149577</v>
      </c>
      <c r="P363" s="57"/>
    </row>
    <row r="364" spans="1:16" s="101" customFormat="1" ht="22.5">
      <c r="A364" s="6" t="s">
        <v>879</v>
      </c>
      <c r="B364" s="63" t="s">
        <v>307</v>
      </c>
      <c r="C364" s="13" t="s">
        <v>375</v>
      </c>
      <c r="D364" s="13" t="s">
        <v>880</v>
      </c>
      <c r="E364" s="13" t="s">
        <v>1012</v>
      </c>
      <c r="F364" s="3" t="s">
        <v>1107</v>
      </c>
      <c r="G364" s="13" t="s">
        <v>881</v>
      </c>
      <c r="H364" s="36">
        <v>49</v>
      </c>
      <c r="I364" s="15">
        <v>470800</v>
      </c>
      <c r="J364" s="15">
        <v>4708</v>
      </c>
      <c r="K364" s="26">
        <f t="shared" si="21"/>
        <v>0.01</v>
      </c>
      <c r="L364" s="151">
        <v>41785</v>
      </c>
      <c r="M364" s="151">
        <v>41823</v>
      </c>
      <c r="N364" s="18">
        <f>2933084/470800</f>
        <v>6.23</v>
      </c>
      <c r="O364" s="137">
        <f t="shared" si="22"/>
        <v>0.0016051364365971107</v>
      </c>
      <c r="P364" s="57"/>
    </row>
    <row r="365" spans="1:16" s="101" customFormat="1" ht="22.5">
      <c r="A365" s="6" t="s">
        <v>882</v>
      </c>
      <c r="B365" s="63" t="s">
        <v>307</v>
      </c>
      <c r="C365" s="13" t="s">
        <v>375</v>
      </c>
      <c r="D365" s="13" t="s">
        <v>880</v>
      </c>
      <c r="E365" s="13" t="s">
        <v>1012</v>
      </c>
      <c r="F365" s="3" t="s">
        <v>1107</v>
      </c>
      <c r="G365" s="13" t="s">
        <v>883</v>
      </c>
      <c r="H365" s="36">
        <v>49</v>
      </c>
      <c r="I365" s="15">
        <v>650633</v>
      </c>
      <c r="J365" s="15">
        <v>6509</v>
      </c>
      <c r="K365" s="26">
        <f t="shared" si="21"/>
        <v>0.010004103695939185</v>
      </c>
      <c r="L365" s="151">
        <v>41785</v>
      </c>
      <c r="M365" s="151">
        <v>41823</v>
      </c>
      <c r="N365" s="18">
        <f>3845241.03/650633</f>
        <v>5.909999999999999</v>
      </c>
      <c r="O365" s="137">
        <f t="shared" si="22"/>
        <v>0.0016927417421216898</v>
      </c>
      <c r="P365" s="57"/>
    </row>
    <row r="366" spans="1:16" s="101" customFormat="1" ht="33.75">
      <c r="A366" s="6" t="s">
        <v>968</v>
      </c>
      <c r="B366" s="63" t="s">
        <v>307</v>
      </c>
      <c r="C366" s="13" t="s">
        <v>375</v>
      </c>
      <c r="D366" s="13" t="s">
        <v>969</v>
      </c>
      <c r="E366" s="13" t="s">
        <v>1012</v>
      </c>
      <c r="F366" s="3" t="s">
        <v>970</v>
      </c>
      <c r="G366" s="13" t="s">
        <v>971</v>
      </c>
      <c r="H366" s="36">
        <v>49</v>
      </c>
      <c r="I366" s="15">
        <v>736000</v>
      </c>
      <c r="J366" s="15">
        <v>7308</v>
      </c>
      <c r="K366" s="26">
        <f t="shared" si="21"/>
        <v>0.009929347826086957</v>
      </c>
      <c r="L366" s="151">
        <v>41788</v>
      </c>
      <c r="M366" s="151">
        <v>41835</v>
      </c>
      <c r="N366" s="18">
        <f>2436160/736000</f>
        <v>3.31</v>
      </c>
      <c r="O366" s="137">
        <f t="shared" si="22"/>
        <v>0.0029998029686063316</v>
      </c>
      <c r="P366" s="57"/>
    </row>
    <row r="367" spans="1:16" s="101" customFormat="1" ht="22.5">
      <c r="A367" s="6" t="s">
        <v>374</v>
      </c>
      <c r="B367" s="63" t="s">
        <v>307</v>
      </c>
      <c r="C367" s="13" t="s">
        <v>375</v>
      </c>
      <c r="D367" s="13" t="s">
        <v>376</v>
      </c>
      <c r="E367" s="13" t="s">
        <v>1012</v>
      </c>
      <c r="F367" s="3" t="s">
        <v>1008</v>
      </c>
      <c r="G367" s="13" t="s">
        <v>377</v>
      </c>
      <c r="H367" s="36">
        <v>49</v>
      </c>
      <c r="I367" s="15">
        <v>810000</v>
      </c>
      <c r="J367" s="15">
        <v>20250</v>
      </c>
      <c r="K367" s="26">
        <f t="shared" si="21"/>
        <v>0.025</v>
      </c>
      <c r="L367" s="151">
        <v>41773</v>
      </c>
      <c r="M367" s="151">
        <v>41808</v>
      </c>
      <c r="N367" s="18">
        <f>5216400/810000</f>
        <v>6.44</v>
      </c>
      <c r="O367" s="137">
        <f t="shared" si="22"/>
        <v>0.0038819875776397515</v>
      </c>
      <c r="P367" s="57"/>
    </row>
    <row r="368" spans="1:16" s="101" customFormat="1" ht="22.5">
      <c r="A368" s="6" t="s">
        <v>1163</v>
      </c>
      <c r="B368" s="63" t="s">
        <v>307</v>
      </c>
      <c r="C368" s="63" t="s">
        <v>1164</v>
      </c>
      <c r="D368" s="13" t="s">
        <v>1165</v>
      </c>
      <c r="E368" s="13" t="s">
        <v>1012</v>
      </c>
      <c r="F368" s="3" t="s">
        <v>1006</v>
      </c>
      <c r="G368" s="13" t="s">
        <v>1166</v>
      </c>
      <c r="H368" s="36">
        <v>49</v>
      </c>
      <c r="I368" s="15">
        <v>1409100</v>
      </c>
      <c r="J368" s="15">
        <v>20000</v>
      </c>
      <c r="K368" s="26">
        <f t="shared" si="21"/>
        <v>0.014193456816407636</v>
      </c>
      <c r="L368" s="151">
        <v>41765</v>
      </c>
      <c r="M368" s="151">
        <v>41796</v>
      </c>
      <c r="N368" s="18">
        <f>2608666.83/1409100</f>
        <v>1.8513</v>
      </c>
      <c r="O368" s="137">
        <f t="shared" si="22"/>
        <v>0.007666751372769209</v>
      </c>
      <c r="P368" s="57"/>
    </row>
    <row r="369" spans="1:16" s="101" customFormat="1" ht="33.75">
      <c r="A369" s="6" t="s">
        <v>823</v>
      </c>
      <c r="B369" s="63" t="s">
        <v>307</v>
      </c>
      <c r="C369" s="63" t="s">
        <v>1073</v>
      </c>
      <c r="D369" s="13" t="s">
        <v>1074</v>
      </c>
      <c r="E369" s="13" t="s">
        <v>1012</v>
      </c>
      <c r="F369" s="3" t="s">
        <v>1008</v>
      </c>
      <c r="G369" s="13" t="s">
        <v>824</v>
      </c>
      <c r="H369" s="36">
        <v>49</v>
      </c>
      <c r="I369" s="15">
        <v>679952</v>
      </c>
      <c r="J369" s="15">
        <v>20000</v>
      </c>
      <c r="K369" s="26">
        <f t="shared" si="21"/>
        <v>0.029413840977010143</v>
      </c>
      <c r="L369" s="151">
        <v>41754</v>
      </c>
      <c r="M369" s="151">
        <v>41782</v>
      </c>
      <c r="N369" s="18">
        <f>3175375.84/679952</f>
        <v>4.67</v>
      </c>
      <c r="O369" s="16">
        <f t="shared" si="22"/>
        <v>0.006298467018631722</v>
      </c>
      <c r="P369" s="57"/>
    </row>
    <row r="370" spans="1:16" s="101" customFormat="1" ht="33.75">
      <c r="A370" s="6" t="s">
        <v>819</v>
      </c>
      <c r="B370" s="63" t="s">
        <v>307</v>
      </c>
      <c r="C370" s="63" t="s">
        <v>1073</v>
      </c>
      <c r="D370" s="13" t="s">
        <v>1074</v>
      </c>
      <c r="E370" s="13" t="s">
        <v>1012</v>
      </c>
      <c r="F370" s="3" t="s">
        <v>1008</v>
      </c>
      <c r="G370" s="13" t="s">
        <v>820</v>
      </c>
      <c r="H370" s="36">
        <v>49</v>
      </c>
      <c r="I370" s="15">
        <v>3991523</v>
      </c>
      <c r="J370" s="15">
        <v>120000</v>
      </c>
      <c r="K370" s="26">
        <f t="shared" si="21"/>
        <v>0.030063712522763866</v>
      </c>
      <c r="L370" s="151">
        <v>41754</v>
      </c>
      <c r="M370" s="151">
        <v>41782</v>
      </c>
      <c r="N370" s="18">
        <f>18640412.41/3991523</f>
        <v>4.67</v>
      </c>
      <c r="O370" s="16">
        <f t="shared" si="22"/>
        <v>0.006437625807872349</v>
      </c>
      <c r="P370" s="57"/>
    </row>
    <row r="371" spans="1:16" s="101" customFormat="1" ht="33.75">
      <c r="A371" s="6" t="s">
        <v>821</v>
      </c>
      <c r="B371" s="63" t="s">
        <v>307</v>
      </c>
      <c r="C371" s="63" t="s">
        <v>1073</v>
      </c>
      <c r="D371" s="13" t="s">
        <v>1074</v>
      </c>
      <c r="E371" s="13" t="s">
        <v>1012</v>
      </c>
      <c r="F371" s="3" t="s">
        <v>1008</v>
      </c>
      <c r="G371" s="13" t="s">
        <v>822</v>
      </c>
      <c r="H371" s="36">
        <v>49</v>
      </c>
      <c r="I371" s="15">
        <v>825112</v>
      </c>
      <c r="J371" s="15">
        <v>25000</v>
      </c>
      <c r="K371" s="26">
        <f t="shared" si="21"/>
        <v>0.030298916995510912</v>
      </c>
      <c r="L371" s="151">
        <v>41754</v>
      </c>
      <c r="M371" s="151">
        <v>41782</v>
      </c>
      <c r="N371" s="18">
        <f>3853273.04/825112</f>
        <v>4.67</v>
      </c>
      <c r="O371" s="16">
        <f t="shared" si="22"/>
        <v>0.00648799079132996</v>
      </c>
      <c r="P371" s="57"/>
    </row>
    <row r="372" spans="1:16" s="101" customFormat="1" ht="22.5">
      <c r="A372" s="6" t="s">
        <v>825</v>
      </c>
      <c r="B372" s="63" t="s">
        <v>307</v>
      </c>
      <c r="C372" s="63" t="s">
        <v>1073</v>
      </c>
      <c r="D372" s="13" t="s">
        <v>826</v>
      </c>
      <c r="E372" s="13" t="s">
        <v>1012</v>
      </c>
      <c r="F372" s="3" t="s">
        <v>1008</v>
      </c>
      <c r="G372" s="13" t="s">
        <v>827</v>
      </c>
      <c r="H372" s="36">
        <v>49</v>
      </c>
      <c r="I372" s="15">
        <v>420035</v>
      </c>
      <c r="J372" s="15">
        <v>13000</v>
      </c>
      <c r="K372" s="26">
        <f t="shared" si="21"/>
        <v>0.030949801802230767</v>
      </c>
      <c r="L372" s="151">
        <v>41754</v>
      </c>
      <c r="M372" s="151">
        <v>41782</v>
      </c>
      <c r="N372" s="18">
        <f>1961563.45/420035</f>
        <v>4.67</v>
      </c>
      <c r="O372" s="16">
        <f t="shared" si="22"/>
        <v>0.0066273665529402075</v>
      </c>
      <c r="P372" s="57"/>
    </row>
    <row r="373" spans="1:16" s="101" customFormat="1" ht="33.75">
      <c r="A373" s="6" t="s">
        <v>1072</v>
      </c>
      <c r="B373" s="63" t="s">
        <v>307</v>
      </c>
      <c r="C373" s="63" t="s">
        <v>1073</v>
      </c>
      <c r="D373" s="13" t="s">
        <v>1074</v>
      </c>
      <c r="E373" s="13" t="s">
        <v>1012</v>
      </c>
      <c r="F373" s="3" t="s">
        <v>1008</v>
      </c>
      <c r="G373" s="13" t="s">
        <v>1075</v>
      </c>
      <c r="H373" s="36">
        <v>49</v>
      </c>
      <c r="I373" s="15">
        <v>471000</v>
      </c>
      <c r="J373" s="15">
        <v>16230</v>
      </c>
      <c r="K373" s="26">
        <f t="shared" si="21"/>
        <v>0.03445859872611465</v>
      </c>
      <c r="L373" s="151">
        <v>41794</v>
      </c>
      <c r="M373" s="151">
        <v>41820</v>
      </c>
      <c r="N373" s="18">
        <f>2199570/471000</f>
        <v>4.67</v>
      </c>
      <c r="O373" s="137">
        <f t="shared" si="22"/>
        <v>0.007378714930645535</v>
      </c>
      <c r="P373" s="57"/>
    </row>
    <row r="374" spans="1:16" s="101" customFormat="1" ht="33.75">
      <c r="A374" s="6" t="s">
        <v>1076</v>
      </c>
      <c r="B374" s="63" t="s">
        <v>307</v>
      </c>
      <c r="C374" s="13" t="s">
        <v>1073</v>
      </c>
      <c r="D374" s="13" t="s">
        <v>1074</v>
      </c>
      <c r="E374" s="13" t="s">
        <v>1012</v>
      </c>
      <c r="F374" s="3" t="s">
        <v>1008</v>
      </c>
      <c r="G374" s="13" t="s">
        <v>1077</v>
      </c>
      <c r="H374" s="36">
        <v>49</v>
      </c>
      <c r="I374" s="15">
        <v>94000</v>
      </c>
      <c r="J374" s="15">
        <v>3240</v>
      </c>
      <c r="K374" s="26">
        <f t="shared" si="21"/>
        <v>0.03446808510638298</v>
      </c>
      <c r="L374" s="151">
        <v>41794</v>
      </c>
      <c r="M374" s="151">
        <v>41820</v>
      </c>
      <c r="N374" s="18">
        <f>438980/94000</f>
        <v>4.67</v>
      </c>
      <c r="O374" s="137">
        <f t="shared" si="22"/>
        <v>0.007380746275456741</v>
      </c>
      <c r="P374" s="57"/>
    </row>
    <row r="375" spans="1:16" s="101" customFormat="1" ht="33.75">
      <c r="A375" s="6" t="s">
        <v>830</v>
      </c>
      <c r="B375" s="63" t="s">
        <v>307</v>
      </c>
      <c r="C375" s="13" t="s">
        <v>1073</v>
      </c>
      <c r="D375" s="13" t="s">
        <v>831</v>
      </c>
      <c r="E375" s="13" t="s">
        <v>1012</v>
      </c>
      <c r="F375" s="3" t="s">
        <v>1008</v>
      </c>
      <c r="G375" s="13" t="s">
        <v>832</v>
      </c>
      <c r="H375" s="36">
        <v>49</v>
      </c>
      <c r="I375" s="15">
        <v>2035596</v>
      </c>
      <c r="J375" s="15">
        <v>61000</v>
      </c>
      <c r="K375" s="26">
        <f t="shared" si="21"/>
        <v>0.02996665350098939</v>
      </c>
      <c r="L375" s="151">
        <v>41754</v>
      </c>
      <c r="M375" s="151">
        <v>41782</v>
      </c>
      <c r="N375" s="18">
        <f>7490993.28/2035596</f>
        <v>3.68</v>
      </c>
      <c r="O375" s="16">
        <f t="shared" si="22"/>
        <v>0.008143112364399291</v>
      </c>
      <c r="P375" s="57"/>
    </row>
    <row r="376" spans="1:16" s="101" customFormat="1" ht="33.75">
      <c r="A376" s="6" t="s">
        <v>833</v>
      </c>
      <c r="B376" s="63" t="s">
        <v>307</v>
      </c>
      <c r="C376" s="13" t="s">
        <v>1073</v>
      </c>
      <c r="D376" s="13" t="s">
        <v>831</v>
      </c>
      <c r="E376" s="13" t="s">
        <v>1012</v>
      </c>
      <c r="F376" s="3" t="s">
        <v>1008</v>
      </c>
      <c r="G376" s="13" t="s">
        <v>834</v>
      </c>
      <c r="H376" s="36">
        <v>49</v>
      </c>
      <c r="I376" s="15">
        <v>519433</v>
      </c>
      <c r="J376" s="15">
        <v>16000</v>
      </c>
      <c r="K376" s="26">
        <f t="shared" si="21"/>
        <v>0.030802817687747987</v>
      </c>
      <c r="L376" s="151">
        <v>41754</v>
      </c>
      <c r="M376" s="151">
        <v>41782</v>
      </c>
      <c r="N376" s="18">
        <f>1911513.44/519433</f>
        <v>3.6799999999999997</v>
      </c>
      <c r="O376" s="16">
        <f t="shared" si="22"/>
        <v>0.008370330893409779</v>
      </c>
      <c r="P376" s="57"/>
    </row>
    <row r="377" spans="1:16" s="101" customFormat="1" ht="33.75">
      <c r="A377" s="6" t="s">
        <v>1078</v>
      </c>
      <c r="B377" s="63" t="s">
        <v>307</v>
      </c>
      <c r="C377" s="13" t="s">
        <v>1073</v>
      </c>
      <c r="D377" s="13" t="s">
        <v>1079</v>
      </c>
      <c r="E377" s="13" t="s">
        <v>1012</v>
      </c>
      <c r="F377" s="3" t="s">
        <v>1008</v>
      </c>
      <c r="G377" s="13" t="s">
        <v>1080</v>
      </c>
      <c r="H377" s="36">
        <v>49</v>
      </c>
      <c r="I377" s="15">
        <v>600700</v>
      </c>
      <c r="J377" s="15">
        <v>20700</v>
      </c>
      <c r="K377" s="26">
        <f t="shared" si="21"/>
        <v>0.03445979690361245</v>
      </c>
      <c r="L377" s="151">
        <v>41794</v>
      </c>
      <c r="M377" s="151">
        <v>41820</v>
      </c>
      <c r="N377" s="18">
        <f>2228597/600700</f>
        <v>3.71</v>
      </c>
      <c r="O377" s="137">
        <f t="shared" si="22"/>
        <v>0.00928835496054244</v>
      </c>
      <c r="P377" s="57"/>
    </row>
    <row r="378" spans="1:16" s="101" customFormat="1" ht="11.25">
      <c r="A378" s="6"/>
      <c r="B378" s="63"/>
      <c r="C378" s="13"/>
      <c r="D378" s="13"/>
      <c r="E378" s="13"/>
      <c r="F378" s="3"/>
      <c r="G378" s="13"/>
      <c r="H378" s="36"/>
      <c r="I378" s="15"/>
      <c r="J378" s="15"/>
      <c r="K378" s="26"/>
      <c r="L378" s="151"/>
      <c r="M378" s="151"/>
      <c r="N378" s="18"/>
      <c r="O378" s="16"/>
      <c r="P378" s="57"/>
    </row>
    <row r="379" spans="1:16" s="101" customFormat="1" ht="11.25">
      <c r="A379" s="6"/>
      <c r="B379" s="63"/>
      <c r="C379" s="13"/>
      <c r="D379" s="13"/>
      <c r="E379" s="13"/>
      <c r="F379" s="3"/>
      <c r="G379" s="13"/>
      <c r="H379" s="36"/>
      <c r="I379" s="15"/>
      <c r="J379" s="15"/>
      <c r="K379" s="26"/>
      <c r="L379" s="151"/>
      <c r="M379" s="151"/>
      <c r="N379" s="18"/>
      <c r="O379" s="16"/>
      <c r="P379" s="57"/>
    </row>
    <row r="380" spans="1:16" s="101" customFormat="1" ht="11.25">
      <c r="A380" s="6"/>
      <c r="B380" s="63"/>
      <c r="C380" s="13"/>
      <c r="D380" s="13"/>
      <c r="E380" s="13"/>
      <c r="F380" s="3"/>
      <c r="G380" s="13"/>
      <c r="H380" s="36"/>
      <c r="I380" s="15"/>
      <c r="J380" s="15"/>
      <c r="K380" s="26"/>
      <c r="L380" s="151"/>
      <c r="M380" s="151"/>
      <c r="N380" s="18"/>
      <c r="O380" s="16"/>
      <c r="P380" s="57"/>
    </row>
    <row r="381" spans="1:16" s="101" customFormat="1" ht="11.25">
      <c r="A381" s="6"/>
      <c r="B381" s="63"/>
      <c r="C381" s="13"/>
      <c r="D381" s="13"/>
      <c r="E381" s="13"/>
      <c r="F381" s="3"/>
      <c r="G381" s="13"/>
      <c r="H381" s="36"/>
      <c r="I381" s="15"/>
      <c r="J381" s="15"/>
      <c r="K381" s="26"/>
      <c r="L381" s="151"/>
      <c r="M381" s="151"/>
      <c r="N381" s="18"/>
      <c r="O381" s="16"/>
      <c r="P381" s="57"/>
    </row>
    <row r="382" spans="1:16" s="101" customFormat="1" ht="11.25">
      <c r="A382" s="6"/>
      <c r="B382" s="63"/>
      <c r="C382" s="13"/>
      <c r="D382" s="13"/>
      <c r="E382" s="13"/>
      <c r="F382" s="3"/>
      <c r="G382" s="13"/>
      <c r="H382" s="36"/>
      <c r="I382" s="15"/>
      <c r="J382" s="15"/>
      <c r="K382" s="26"/>
      <c r="L382" s="151"/>
      <c r="M382" s="151"/>
      <c r="N382" s="18"/>
      <c r="O382" s="16"/>
      <c r="P382" s="57"/>
    </row>
    <row r="383" spans="1:16" s="101" customFormat="1" ht="11.25">
      <c r="A383" s="6"/>
      <c r="B383" s="63"/>
      <c r="C383" s="13"/>
      <c r="D383" s="13"/>
      <c r="E383" s="13"/>
      <c r="F383" s="3"/>
      <c r="G383" s="13"/>
      <c r="H383" s="36"/>
      <c r="I383" s="15"/>
      <c r="J383" s="15"/>
      <c r="K383" s="26"/>
      <c r="L383" s="151"/>
      <c r="M383" s="151"/>
      <c r="N383" s="18"/>
      <c r="O383" s="16"/>
      <c r="P383" s="57"/>
    </row>
    <row r="384" spans="1:16" s="101" customFormat="1" ht="11.25">
      <c r="A384" s="6"/>
      <c r="B384" s="63"/>
      <c r="C384" s="13"/>
      <c r="D384" s="13"/>
      <c r="E384" s="13"/>
      <c r="F384" s="3"/>
      <c r="G384" s="13"/>
      <c r="H384" s="36"/>
      <c r="I384" s="15"/>
      <c r="J384" s="15"/>
      <c r="K384" s="26"/>
      <c r="L384" s="151"/>
      <c r="M384" s="151"/>
      <c r="N384" s="18"/>
      <c r="O384" s="16"/>
      <c r="P384" s="57"/>
    </row>
    <row r="385" spans="1:16" s="101" customFormat="1" ht="11.25">
      <c r="A385" s="6"/>
      <c r="B385" s="63"/>
      <c r="C385" s="13"/>
      <c r="D385" s="13"/>
      <c r="E385" s="13"/>
      <c r="F385" s="3"/>
      <c r="G385" s="13"/>
      <c r="H385" s="36"/>
      <c r="I385" s="15"/>
      <c r="J385" s="15"/>
      <c r="K385" s="26"/>
      <c r="L385" s="151"/>
      <c r="M385" s="151"/>
      <c r="N385" s="18"/>
      <c r="O385" s="16"/>
      <c r="P385" s="57"/>
    </row>
    <row r="386" spans="1:16" s="101" customFormat="1" ht="12" thickBot="1">
      <c r="A386" s="7"/>
      <c r="B386" s="150"/>
      <c r="C386" s="34"/>
      <c r="D386" s="34"/>
      <c r="E386" s="34"/>
      <c r="F386" s="17"/>
      <c r="G386" s="34"/>
      <c r="H386" s="45"/>
      <c r="I386" s="21"/>
      <c r="J386" s="21"/>
      <c r="K386" s="38"/>
      <c r="L386" s="152"/>
      <c r="M386" s="152"/>
      <c r="N386" s="139"/>
      <c r="O386" s="20"/>
      <c r="P386" s="57"/>
    </row>
    <row r="387" spans="3:15" ht="11.25">
      <c r="C387" s="2"/>
      <c r="D387" s="2"/>
      <c r="E387" s="2"/>
      <c r="F387" s="24"/>
      <c r="G387" s="2"/>
      <c r="H387" s="24"/>
      <c r="I387" s="24"/>
      <c r="J387" s="24"/>
      <c r="K387" s="2"/>
      <c r="N387" s="105" t="s">
        <v>132</v>
      </c>
      <c r="O387" s="102">
        <f>MAX(O297:O386)</f>
        <v>0.027206367668095834</v>
      </c>
    </row>
    <row r="388" spans="3:11" ht="11.25">
      <c r="C388" s="2"/>
      <c r="D388" s="2"/>
      <c r="E388" s="2"/>
      <c r="F388" s="24"/>
      <c r="G388" s="2"/>
      <c r="H388" s="24"/>
      <c r="I388" s="24"/>
      <c r="J388" s="24"/>
      <c r="K388" s="2"/>
    </row>
    <row r="389" spans="3:11" ht="11.25">
      <c r="C389" s="2"/>
      <c r="D389" s="2"/>
      <c r="E389" s="2"/>
      <c r="F389" s="24"/>
      <c r="G389" s="2"/>
      <c r="H389" s="24"/>
      <c r="I389" s="24"/>
      <c r="J389" s="24"/>
      <c r="K389" s="2"/>
    </row>
    <row r="390" spans="3:11" ht="11.25">
      <c r="C390" s="2"/>
      <c r="D390" s="2"/>
      <c r="E390" s="2"/>
      <c r="F390" s="24"/>
      <c r="G390" s="2"/>
      <c r="H390" s="24"/>
      <c r="I390" s="24"/>
      <c r="J390" s="24"/>
      <c r="K390" s="2"/>
    </row>
    <row r="391" spans="3:11" ht="11.25">
      <c r="C391" s="2"/>
      <c r="D391" s="2"/>
      <c r="E391" s="2"/>
      <c r="F391" s="24"/>
      <c r="G391" s="2"/>
      <c r="H391" s="24"/>
      <c r="I391" s="24"/>
      <c r="J391" s="24"/>
      <c r="K391" s="2"/>
    </row>
    <row r="392" spans="3:11" ht="11.25">
      <c r="C392" s="2"/>
      <c r="D392" s="2"/>
      <c r="E392" s="2"/>
      <c r="F392" s="24"/>
      <c r="G392" s="2"/>
      <c r="H392" s="24"/>
      <c r="I392" s="24"/>
      <c r="J392" s="24"/>
      <c r="K392" s="2"/>
    </row>
    <row r="393" spans="3:11" ht="11.25">
      <c r="C393" s="2"/>
      <c r="D393" s="2"/>
      <c r="E393" s="2"/>
      <c r="F393" s="24"/>
      <c r="G393" s="2"/>
      <c r="H393" s="24"/>
      <c r="I393" s="24"/>
      <c r="J393" s="24"/>
      <c r="K393" s="2"/>
    </row>
    <row r="394" spans="3:11" ht="11.25">
      <c r="C394" s="2"/>
      <c r="D394" s="2"/>
      <c r="E394" s="2"/>
      <c r="F394" s="24"/>
      <c r="G394" s="2"/>
      <c r="H394" s="24"/>
      <c r="I394" s="24"/>
      <c r="J394" s="24"/>
      <c r="K394" s="2"/>
    </row>
    <row r="395" spans="3:11" ht="11.25">
      <c r="C395" s="2"/>
      <c r="D395" s="2"/>
      <c r="E395" s="2"/>
      <c r="F395" s="24"/>
      <c r="G395" s="2"/>
      <c r="H395" s="24"/>
      <c r="I395" s="24"/>
      <c r="J395" s="24"/>
      <c r="K395" s="2"/>
    </row>
    <row r="396" spans="3:11" ht="11.25">
      <c r="C396" s="2"/>
      <c r="D396" s="2"/>
      <c r="E396" s="2"/>
      <c r="F396" s="24"/>
      <c r="G396" s="2"/>
      <c r="H396" s="24"/>
      <c r="I396" s="24"/>
      <c r="J396" s="24"/>
      <c r="K396" s="2"/>
    </row>
    <row r="397" spans="3:11" ht="11.25">
      <c r="C397" s="2"/>
      <c r="D397" s="2"/>
      <c r="E397" s="2"/>
      <c r="F397" s="24"/>
      <c r="G397" s="2"/>
      <c r="H397" s="24"/>
      <c r="I397" s="24"/>
      <c r="J397" s="24"/>
      <c r="K397" s="2"/>
    </row>
    <row r="398" spans="3:11" ht="11.25">
      <c r="C398" s="2"/>
      <c r="D398" s="2"/>
      <c r="E398" s="2"/>
      <c r="F398" s="24"/>
      <c r="G398" s="2"/>
      <c r="H398" s="24"/>
      <c r="I398" s="24"/>
      <c r="J398" s="24"/>
      <c r="K398" s="2"/>
    </row>
    <row r="399" spans="3:11" ht="11.25">
      <c r="C399" s="2"/>
      <c r="D399" s="2"/>
      <c r="E399" s="2"/>
      <c r="F399" s="24"/>
      <c r="G399" s="2"/>
      <c r="H399" s="24"/>
      <c r="I399" s="24"/>
      <c r="J399" s="24"/>
      <c r="K399" s="2"/>
    </row>
    <row r="400" spans="3:11" ht="11.25">
      <c r="C400" s="2"/>
      <c r="D400" s="2"/>
      <c r="E400" s="2"/>
      <c r="F400" s="24"/>
      <c r="G400" s="2"/>
      <c r="H400" s="24"/>
      <c r="I400" s="24"/>
      <c r="J400" s="24"/>
      <c r="K400" s="2"/>
    </row>
    <row r="401" spans="3:11" ht="11.25">
      <c r="C401" s="2"/>
      <c r="D401" s="2"/>
      <c r="E401" s="2"/>
      <c r="F401" s="24"/>
      <c r="G401" s="2"/>
      <c r="H401" s="24"/>
      <c r="I401" s="24"/>
      <c r="J401" s="24"/>
      <c r="K401" s="2"/>
    </row>
    <row r="402" spans="3:11" ht="11.25">
      <c r="C402" s="2"/>
      <c r="D402" s="2"/>
      <c r="E402" s="2"/>
      <c r="F402" s="24"/>
      <c r="G402" s="2"/>
      <c r="H402" s="24"/>
      <c r="I402" s="24"/>
      <c r="J402" s="24"/>
      <c r="K402" s="2"/>
    </row>
    <row r="403" spans="3:11" ht="11.25">
      <c r="C403" s="2"/>
      <c r="D403" s="2"/>
      <c r="E403" s="2"/>
      <c r="F403" s="24"/>
      <c r="G403" s="2"/>
      <c r="H403" s="24"/>
      <c r="I403" s="24"/>
      <c r="J403" s="24"/>
      <c r="K403" s="2"/>
    </row>
    <row r="404" spans="3:11" ht="11.25">
      <c r="C404" s="2"/>
      <c r="D404" s="2"/>
      <c r="E404" s="2"/>
      <c r="F404" s="24"/>
      <c r="G404" s="2"/>
      <c r="H404" s="24"/>
      <c r="I404" s="24"/>
      <c r="J404" s="24"/>
      <c r="K404" s="2"/>
    </row>
    <row r="405" spans="3:11" ht="11.25">
      <c r="C405" s="2"/>
      <c r="D405" s="2"/>
      <c r="E405" s="2"/>
      <c r="F405" s="24"/>
      <c r="G405" s="2"/>
      <c r="H405" s="24"/>
      <c r="I405" s="24"/>
      <c r="J405" s="24"/>
      <c r="K405" s="2"/>
    </row>
    <row r="406" spans="3:11" ht="11.25">
      <c r="C406" s="2"/>
      <c r="D406" s="2"/>
      <c r="E406" s="2"/>
      <c r="F406" s="24"/>
      <c r="G406" s="2"/>
      <c r="H406" s="24"/>
      <c r="I406" s="24"/>
      <c r="J406" s="24"/>
      <c r="K406" s="2"/>
    </row>
    <row r="407" spans="3:11" ht="11.25">
      <c r="C407" s="2"/>
      <c r="D407" s="2"/>
      <c r="E407" s="2"/>
      <c r="F407" s="24"/>
      <c r="G407" s="2"/>
      <c r="H407" s="24"/>
      <c r="I407" s="24"/>
      <c r="J407" s="24"/>
      <c r="K407" s="2"/>
    </row>
    <row r="408" spans="3:11" ht="11.25">
      <c r="C408" s="2"/>
      <c r="D408" s="2"/>
      <c r="E408" s="2"/>
      <c r="F408" s="24"/>
      <c r="G408" s="2"/>
      <c r="H408" s="24"/>
      <c r="I408" s="24"/>
      <c r="J408" s="24"/>
      <c r="K408" s="2"/>
    </row>
    <row r="409" spans="3:11" ht="11.25">
      <c r="C409" s="2"/>
      <c r="D409" s="2"/>
      <c r="E409" s="2"/>
      <c r="F409" s="24"/>
      <c r="G409" s="2"/>
      <c r="H409" s="24"/>
      <c r="I409" s="24"/>
      <c r="J409" s="24"/>
      <c r="K409" s="2"/>
    </row>
    <row r="410" spans="3:11" ht="11.25">
      <c r="C410" s="2"/>
      <c r="D410" s="2"/>
      <c r="E410" s="2"/>
      <c r="F410" s="24"/>
      <c r="G410" s="2"/>
      <c r="H410" s="24"/>
      <c r="I410" s="24"/>
      <c r="J410" s="24"/>
      <c r="K410" s="2"/>
    </row>
    <row r="411" spans="3:11" ht="11.25">
      <c r="C411" s="2"/>
      <c r="D411" s="2"/>
      <c r="E411" s="2"/>
      <c r="F411" s="24"/>
      <c r="G411" s="2"/>
      <c r="H411" s="24"/>
      <c r="I411" s="24"/>
      <c r="J411" s="24"/>
      <c r="K411" s="2"/>
    </row>
    <row r="412" spans="3:11" ht="11.25">
      <c r="C412" s="2"/>
      <c r="D412" s="2"/>
      <c r="E412" s="2"/>
      <c r="F412" s="24"/>
      <c r="G412" s="2"/>
      <c r="H412" s="24"/>
      <c r="I412" s="24"/>
      <c r="J412" s="24"/>
      <c r="K412" s="2"/>
    </row>
    <row r="413" spans="3:11" ht="11.25">
      <c r="C413" s="2"/>
      <c r="D413" s="2"/>
      <c r="E413" s="2"/>
      <c r="F413" s="24"/>
      <c r="G413" s="2"/>
      <c r="H413" s="24"/>
      <c r="I413" s="24"/>
      <c r="J413" s="24"/>
      <c r="K413" s="2"/>
    </row>
    <row r="414" spans="3:11" ht="11.25">
      <c r="C414" s="2"/>
      <c r="D414" s="2"/>
      <c r="E414" s="2"/>
      <c r="F414" s="24"/>
      <c r="G414" s="2"/>
      <c r="H414" s="24"/>
      <c r="I414" s="24"/>
      <c r="J414" s="24"/>
      <c r="K414" s="2"/>
    </row>
    <row r="415" spans="3:11" ht="11.25">
      <c r="C415" s="2"/>
      <c r="D415" s="2"/>
      <c r="E415" s="2"/>
      <c r="F415" s="24"/>
      <c r="G415" s="2"/>
      <c r="H415" s="24"/>
      <c r="I415" s="24"/>
      <c r="J415" s="24"/>
      <c r="K415" s="2"/>
    </row>
    <row r="416" spans="3:11" ht="11.25">
      <c r="C416" s="2"/>
      <c r="D416" s="2"/>
      <c r="E416" s="2"/>
      <c r="F416" s="24"/>
      <c r="G416" s="2"/>
      <c r="H416" s="24"/>
      <c r="I416" s="24"/>
      <c r="J416" s="24"/>
      <c r="K416" s="2"/>
    </row>
    <row r="417" spans="3:11" ht="11.25">
      <c r="C417" s="2"/>
      <c r="D417" s="2"/>
      <c r="E417" s="2"/>
      <c r="F417" s="24"/>
      <c r="G417" s="2"/>
      <c r="H417" s="24"/>
      <c r="I417" s="24"/>
      <c r="J417" s="24"/>
      <c r="K417" s="2"/>
    </row>
    <row r="418" spans="3:11" ht="11.25">
      <c r="C418" s="2"/>
      <c r="D418" s="2"/>
      <c r="E418" s="2"/>
      <c r="F418" s="24"/>
      <c r="G418" s="2"/>
      <c r="H418" s="24"/>
      <c r="I418" s="24"/>
      <c r="J418" s="24"/>
      <c r="K418" s="2"/>
    </row>
    <row r="419" spans="3:11" ht="11.25">
      <c r="C419" s="2"/>
      <c r="D419" s="2"/>
      <c r="E419" s="2"/>
      <c r="F419" s="24"/>
      <c r="G419" s="2"/>
      <c r="H419" s="24"/>
      <c r="I419" s="24"/>
      <c r="J419" s="24"/>
      <c r="K419" s="2"/>
    </row>
    <row r="420" spans="1:11" ht="15.75">
      <c r="A420" s="78" t="s">
        <v>120</v>
      </c>
      <c r="C420" s="2"/>
      <c r="D420" s="2"/>
      <c r="E420" s="2"/>
      <c r="F420" s="24"/>
      <c r="G420" s="2"/>
      <c r="H420" s="24"/>
      <c r="I420" s="24"/>
      <c r="J420" s="24"/>
      <c r="K420" s="2"/>
    </row>
    <row r="421" spans="1:16" ht="22.5">
      <c r="A421" s="6" t="s">
        <v>648</v>
      </c>
      <c r="B421" s="63" t="s">
        <v>307</v>
      </c>
      <c r="C421" s="13" t="s">
        <v>1085</v>
      </c>
      <c r="D421" s="13" t="s">
        <v>508</v>
      </c>
      <c r="E421" s="13" t="s">
        <v>1012</v>
      </c>
      <c r="F421" s="3" t="s">
        <v>1087</v>
      </c>
      <c r="G421" s="13" t="s">
        <v>649</v>
      </c>
      <c r="H421" s="36">
        <v>3</v>
      </c>
      <c r="I421" s="15">
        <v>30000</v>
      </c>
      <c r="J421" s="15">
        <v>11100</v>
      </c>
      <c r="K421" s="26">
        <f aca="true" t="shared" si="23" ref="K421:K433">J421/I421</f>
        <v>0.37</v>
      </c>
      <c r="L421" s="151">
        <v>41906</v>
      </c>
      <c r="M421" s="151">
        <v>41941</v>
      </c>
      <c r="N421" s="18">
        <f>42090/30000</f>
        <v>1.403</v>
      </c>
      <c r="O421" s="141">
        <f aca="true" t="shared" si="24" ref="O421:O433">K421/N421</f>
        <v>0.2637205987170349</v>
      </c>
      <c r="P421" s="57"/>
    </row>
    <row r="422" spans="1:16" ht="22.5">
      <c r="A422" s="6" t="s">
        <v>828</v>
      </c>
      <c r="B422" s="63" t="s">
        <v>307</v>
      </c>
      <c r="C422" s="13" t="s">
        <v>1073</v>
      </c>
      <c r="D422" s="13" t="s">
        <v>826</v>
      </c>
      <c r="E422" s="13" t="s">
        <v>1012</v>
      </c>
      <c r="F422" s="3" t="s">
        <v>1008</v>
      </c>
      <c r="G422" s="13" t="s">
        <v>829</v>
      </c>
      <c r="H422" s="36">
        <v>49</v>
      </c>
      <c r="I422" s="15">
        <v>990000</v>
      </c>
      <c r="J422" s="15">
        <v>990000</v>
      </c>
      <c r="K422" s="26">
        <f t="shared" si="23"/>
        <v>1</v>
      </c>
      <c r="L422" s="151">
        <v>41754</v>
      </c>
      <c r="M422" s="151">
        <v>41782</v>
      </c>
      <c r="N422" s="18">
        <f>4128300/990000</f>
        <v>4.17</v>
      </c>
      <c r="O422" s="141">
        <f t="shared" si="24"/>
        <v>0.23980815347721823</v>
      </c>
      <c r="P422" s="57"/>
    </row>
    <row r="423" spans="1:15" ht="22.5">
      <c r="A423" s="6" t="s">
        <v>1084</v>
      </c>
      <c r="B423" s="63" t="s">
        <v>307</v>
      </c>
      <c r="C423" s="13" t="s">
        <v>1085</v>
      </c>
      <c r="D423" s="13" t="s">
        <v>1086</v>
      </c>
      <c r="E423" s="13" t="s">
        <v>1012</v>
      </c>
      <c r="F423" s="3" t="s">
        <v>1087</v>
      </c>
      <c r="G423" s="13" t="s">
        <v>1088</v>
      </c>
      <c r="H423" s="36">
        <v>5</v>
      </c>
      <c r="I423" s="15">
        <v>19950</v>
      </c>
      <c r="J423" s="15">
        <v>4127</v>
      </c>
      <c r="K423" s="26">
        <f t="shared" si="23"/>
        <v>0.2068671679197995</v>
      </c>
      <c r="L423" s="136">
        <v>41676</v>
      </c>
      <c r="M423" s="3" t="s">
        <v>1089</v>
      </c>
      <c r="N423" s="18">
        <f>20358.98/19950</f>
        <v>1.0205002506265664</v>
      </c>
      <c r="O423" s="141">
        <f t="shared" si="24"/>
        <v>0.20271153073484036</v>
      </c>
    </row>
    <row r="424" spans="1:15" ht="22.5">
      <c r="A424" s="6" t="s">
        <v>1092</v>
      </c>
      <c r="B424" s="63" t="s">
        <v>307</v>
      </c>
      <c r="C424" s="13" t="s">
        <v>1085</v>
      </c>
      <c r="D424" s="13" t="s">
        <v>1093</v>
      </c>
      <c r="E424" s="13" t="s">
        <v>1012</v>
      </c>
      <c r="F424" s="3" t="s">
        <v>1094</v>
      </c>
      <c r="G424" s="13" t="s">
        <v>1095</v>
      </c>
      <c r="H424" s="36">
        <v>5</v>
      </c>
      <c r="I424" s="15">
        <v>246146</v>
      </c>
      <c r="J424" s="15">
        <v>45495</v>
      </c>
      <c r="K424" s="26">
        <f t="shared" si="23"/>
        <v>0.1848293289348598</v>
      </c>
      <c r="L424" s="136">
        <v>41676</v>
      </c>
      <c r="M424" s="3" t="s">
        <v>1089</v>
      </c>
      <c r="N424" s="18">
        <f>251191.99/246146</f>
        <v>1.0204999878121115</v>
      </c>
      <c r="O424" s="141">
        <f t="shared" si="24"/>
        <v>0.18111644403947752</v>
      </c>
    </row>
    <row r="425" spans="1:15" ht="22.5">
      <c r="A425" s="6" t="s">
        <v>1090</v>
      </c>
      <c r="B425" s="63" t="s">
        <v>307</v>
      </c>
      <c r="C425" s="13" t="s">
        <v>1085</v>
      </c>
      <c r="D425" s="13" t="s">
        <v>1086</v>
      </c>
      <c r="E425" s="13" t="s">
        <v>1012</v>
      </c>
      <c r="F425" s="3" t="s">
        <v>1087</v>
      </c>
      <c r="G425" s="13" t="s">
        <v>1091</v>
      </c>
      <c r="H425" s="36">
        <v>5</v>
      </c>
      <c r="I425" s="15">
        <v>35490</v>
      </c>
      <c r="J425" s="15">
        <v>7180</v>
      </c>
      <c r="K425" s="26">
        <f t="shared" si="23"/>
        <v>0.2023105100028177</v>
      </c>
      <c r="L425" s="136">
        <v>41676</v>
      </c>
      <c r="M425" s="136">
        <v>41719</v>
      </c>
      <c r="N425" s="18">
        <f>36217.55/35490</f>
        <v>1.0205001408847563</v>
      </c>
      <c r="O425" s="141">
        <f t="shared" si="24"/>
        <v>0.19824643025273658</v>
      </c>
    </row>
    <row r="426" spans="1:16" ht="33.75">
      <c r="A426" s="6" t="s">
        <v>507</v>
      </c>
      <c r="B426" s="63" t="s">
        <v>307</v>
      </c>
      <c r="C426" s="13" t="s">
        <v>1085</v>
      </c>
      <c r="D426" s="13" t="s">
        <v>508</v>
      </c>
      <c r="E426" s="13" t="s">
        <v>1012</v>
      </c>
      <c r="F426" s="3" t="s">
        <v>509</v>
      </c>
      <c r="G426" s="13" t="s">
        <v>510</v>
      </c>
      <c r="H426" s="36">
        <v>10</v>
      </c>
      <c r="I426" s="15">
        <v>10144</v>
      </c>
      <c r="J426" s="15">
        <v>2435</v>
      </c>
      <c r="K426" s="26">
        <f t="shared" si="23"/>
        <v>0.24004337539432177</v>
      </c>
      <c r="L426" s="151">
        <v>41955</v>
      </c>
      <c r="M426" s="151">
        <v>41990</v>
      </c>
      <c r="N426" s="18">
        <f>14232.03/10144</f>
        <v>1.4029998028391168</v>
      </c>
      <c r="O426" s="141">
        <f t="shared" si="24"/>
        <v>0.17109295019754736</v>
      </c>
      <c r="P426" s="57"/>
    </row>
    <row r="427" spans="1:16" ht="22.5">
      <c r="A427" s="6" t="s">
        <v>620</v>
      </c>
      <c r="B427" s="63" t="s">
        <v>307</v>
      </c>
      <c r="C427" s="13" t="s">
        <v>148</v>
      </c>
      <c r="D427" s="13" t="s">
        <v>621</v>
      </c>
      <c r="E427" s="13" t="s">
        <v>1012</v>
      </c>
      <c r="F427" s="3" t="s">
        <v>1008</v>
      </c>
      <c r="G427" s="13" t="s">
        <v>622</v>
      </c>
      <c r="H427" s="36">
        <v>15</v>
      </c>
      <c r="I427" s="15">
        <v>50600</v>
      </c>
      <c r="J427" s="15">
        <v>19300</v>
      </c>
      <c r="K427" s="26">
        <f t="shared" si="23"/>
        <v>0.3814229249011858</v>
      </c>
      <c r="L427" s="151">
        <v>41934</v>
      </c>
      <c r="M427" s="151">
        <v>41942</v>
      </c>
      <c r="N427" s="18">
        <f>146234/50600</f>
        <v>2.89</v>
      </c>
      <c r="O427" s="141">
        <f t="shared" si="24"/>
        <v>0.13198025083086012</v>
      </c>
      <c r="P427" s="57"/>
    </row>
    <row r="428" spans="1:16" ht="45">
      <c r="A428" s="6" t="s">
        <v>807</v>
      </c>
      <c r="B428" s="63" t="s">
        <v>307</v>
      </c>
      <c r="C428" s="63" t="s">
        <v>804</v>
      </c>
      <c r="D428" s="13" t="s">
        <v>808</v>
      </c>
      <c r="E428" s="13" t="s">
        <v>1012</v>
      </c>
      <c r="F428" s="3" t="s">
        <v>1008</v>
      </c>
      <c r="G428" s="13" t="s">
        <v>809</v>
      </c>
      <c r="H428" s="36">
        <v>49</v>
      </c>
      <c r="I428" s="15">
        <v>123504</v>
      </c>
      <c r="J428" s="15">
        <v>17300</v>
      </c>
      <c r="K428" s="26">
        <f t="shared" si="23"/>
        <v>0.14007643477134343</v>
      </c>
      <c r="L428" s="151">
        <v>41783</v>
      </c>
      <c r="M428" s="151">
        <v>41814</v>
      </c>
      <c r="N428" s="18">
        <f>257975.15/123504</f>
        <v>2.0887999578961005</v>
      </c>
      <c r="O428" s="141">
        <f t="shared" si="24"/>
        <v>0.06706072270914466</v>
      </c>
      <c r="P428" s="57"/>
    </row>
    <row r="429" spans="1:16" ht="33.75">
      <c r="A429" s="6" t="s">
        <v>803</v>
      </c>
      <c r="B429" s="63" t="s">
        <v>307</v>
      </c>
      <c r="C429" s="63" t="s">
        <v>804</v>
      </c>
      <c r="D429" s="13" t="s">
        <v>805</v>
      </c>
      <c r="E429" s="13" t="s">
        <v>1012</v>
      </c>
      <c r="F429" s="3" t="s">
        <v>1008</v>
      </c>
      <c r="G429" s="13" t="s">
        <v>806</v>
      </c>
      <c r="H429" s="36">
        <v>49</v>
      </c>
      <c r="I429" s="15">
        <v>196670</v>
      </c>
      <c r="J429" s="15">
        <v>27600</v>
      </c>
      <c r="K429" s="26">
        <f t="shared" si="23"/>
        <v>0.1403366044643311</v>
      </c>
      <c r="L429" s="151">
        <v>41783</v>
      </c>
      <c r="M429" s="151">
        <v>41814</v>
      </c>
      <c r="N429" s="18">
        <f>410804.3/196670</f>
        <v>2.0888000203386383</v>
      </c>
      <c r="O429" s="141">
        <f t="shared" si="24"/>
        <v>0.067185275324528</v>
      </c>
      <c r="P429" s="57"/>
    </row>
    <row r="430" spans="1:16" ht="33.75">
      <c r="A430" s="6" t="s">
        <v>616</v>
      </c>
      <c r="B430" s="63" t="s">
        <v>307</v>
      </c>
      <c r="C430" s="13" t="s">
        <v>1132</v>
      </c>
      <c r="D430" s="13" t="s">
        <v>612</v>
      </c>
      <c r="E430" s="13" t="s">
        <v>1012</v>
      </c>
      <c r="F430" s="3" t="s">
        <v>1036</v>
      </c>
      <c r="G430" s="13" t="s">
        <v>617</v>
      </c>
      <c r="H430" s="36">
        <v>10</v>
      </c>
      <c r="I430" s="15">
        <v>138113</v>
      </c>
      <c r="J430" s="15">
        <v>26240</v>
      </c>
      <c r="K430" s="26">
        <f t="shared" si="23"/>
        <v>0.18998935654138277</v>
      </c>
      <c r="L430" s="151">
        <v>41906</v>
      </c>
      <c r="M430" s="151">
        <v>41949</v>
      </c>
      <c r="N430" s="18">
        <f>247222.27/138113</f>
        <v>1.7899999999999998</v>
      </c>
      <c r="O430" s="141">
        <f t="shared" si="24"/>
        <v>0.10613930533038145</v>
      </c>
      <c r="P430" s="57"/>
    </row>
    <row r="431" spans="1:16" ht="22.5">
      <c r="A431" s="6" t="s">
        <v>618</v>
      </c>
      <c r="B431" s="63" t="s">
        <v>307</v>
      </c>
      <c r="C431" s="13" t="s">
        <v>1132</v>
      </c>
      <c r="D431" s="13" t="s">
        <v>612</v>
      </c>
      <c r="E431" s="13" t="s">
        <v>1012</v>
      </c>
      <c r="F431" s="3" t="s">
        <v>1008</v>
      </c>
      <c r="G431" s="13" t="s">
        <v>619</v>
      </c>
      <c r="H431" s="36">
        <v>10</v>
      </c>
      <c r="I431" s="15">
        <v>99318</v>
      </c>
      <c r="J431" s="15">
        <v>26500</v>
      </c>
      <c r="K431" s="26">
        <f t="shared" si="23"/>
        <v>0.26681971042509917</v>
      </c>
      <c r="L431" s="151">
        <v>41906</v>
      </c>
      <c r="M431" s="151">
        <v>41949</v>
      </c>
      <c r="N431" s="18">
        <f>230645.94/99318</f>
        <v>2.3222974687367848</v>
      </c>
      <c r="O431" s="141">
        <f t="shared" si="24"/>
        <v>0.11489471698482964</v>
      </c>
      <c r="P431" s="57"/>
    </row>
    <row r="432" spans="1:16" s="101" customFormat="1" ht="22.5">
      <c r="A432" s="6" t="s">
        <v>92</v>
      </c>
      <c r="B432" s="63" t="s">
        <v>307</v>
      </c>
      <c r="C432" s="13" t="s">
        <v>810</v>
      </c>
      <c r="D432" s="13" t="s">
        <v>93</v>
      </c>
      <c r="E432" s="13" t="s">
        <v>1012</v>
      </c>
      <c r="F432" s="3" t="s">
        <v>1008</v>
      </c>
      <c r="G432" s="13" t="s">
        <v>94</v>
      </c>
      <c r="H432" s="36">
        <v>5</v>
      </c>
      <c r="I432" s="15">
        <v>19453</v>
      </c>
      <c r="J432" s="15">
        <v>32200</v>
      </c>
      <c r="K432" s="26">
        <f t="shared" si="23"/>
        <v>1.6552716804605974</v>
      </c>
      <c r="L432" s="151">
        <v>41941</v>
      </c>
      <c r="M432" s="151">
        <v>41974</v>
      </c>
      <c r="N432" s="18">
        <f>1035677.72/19453</f>
        <v>53.24</v>
      </c>
      <c r="O432" s="141">
        <f t="shared" si="24"/>
        <v>0.03109075282608184</v>
      </c>
      <c r="P432" s="57"/>
    </row>
    <row r="433" spans="1:15" s="101" customFormat="1" ht="22.5">
      <c r="A433" s="6" t="s">
        <v>147</v>
      </c>
      <c r="B433" s="63" t="s">
        <v>307</v>
      </c>
      <c r="C433" s="13" t="s">
        <v>148</v>
      </c>
      <c r="D433" s="13" t="s">
        <v>149</v>
      </c>
      <c r="E433" s="13" t="s">
        <v>1012</v>
      </c>
      <c r="F433" s="3" t="s">
        <v>1008</v>
      </c>
      <c r="G433" s="13" t="s">
        <v>150</v>
      </c>
      <c r="H433" s="36">
        <v>5</v>
      </c>
      <c r="I433" s="15">
        <v>424600</v>
      </c>
      <c r="J433" s="15">
        <v>5095</v>
      </c>
      <c r="K433" s="26">
        <f t="shared" si="23"/>
        <v>0.011999528968440885</v>
      </c>
      <c r="L433" s="151">
        <v>41737</v>
      </c>
      <c r="M433" s="151">
        <v>41774</v>
      </c>
      <c r="N433" s="18">
        <f>1507330/424600</f>
        <v>3.55</v>
      </c>
      <c r="O433" s="141">
        <f t="shared" si="24"/>
        <v>0.003380149005194616</v>
      </c>
    </row>
    <row r="434" spans="1:16" s="101" customFormat="1" ht="33.75">
      <c r="A434" s="6" t="s">
        <v>547</v>
      </c>
      <c r="B434" s="63" t="s">
        <v>307</v>
      </c>
      <c r="C434" s="13" t="s">
        <v>379</v>
      </c>
      <c r="D434" s="13" t="s">
        <v>548</v>
      </c>
      <c r="E434" s="13" t="s">
        <v>1012</v>
      </c>
      <c r="F434" s="3" t="s">
        <v>549</v>
      </c>
      <c r="G434" s="13" t="s">
        <v>550</v>
      </c>
      <c r="H434" s="36">
        <v>3</v>
      </c>
      <c r="I434" s="15">
        <v>2103006</v>
      </c>
      <c r="J434" s="15">
        <v>36500</v>
      </c>
      <c r="K434" s="26">
        <f>J434/I434</f>
        <v>0.017356108351569133</v>
      </c>
      <c r="L434" s="151">
        <v>41900</v>
      </c>
      <c r="M434" s="151">
        <v>41936</v>
      </c>
      <c r="N434" s="18">
        <f>9905158.26/2103006</f>
        <v>4.71</v>
      </c>
      <c r="O434" s="141">
        <f>K434/N434</f>
        <v>0.003684948694600665</v>
      </c>
      <c r="P434" s="57"/>
    </row>
    <row r="435" spans="1:16" s="101" customFormat="1" ht="33.75">
      <c r="A435" s="6" t="s">
        <v>552</v>
      </c>
      <c r="B435" s="63" t="s">
        <v>307</v>
      </c>
      <c r="C435" s="13" t="s">
        <v>379</v>
      </c>
      <c r="D435" s="13" t="s">
        <v>548</v>
      </c>
      <c r="E435" s="13" t="s">
        <v>1012</v>
      </c>
      <c r="F435" s="3" t="s">
        <v>549</v>
      </c>
      <c r="G435" s="13" t="s">
        <v>553</v>
      </c>
      <c r="H435" s="36">
        <v>3</v>
      </c>
      <c r="I435" s="15">
        <v>871275</v>
      </c>
      <c r="J435" s="15">
        <v>17400</v>
      </c>
      <c r="K435" s="26">
        <f>J435/I435</f>
        <v>0.019970732547129208</v>
      </c>
      <c r="L435" s="151">
        <v>41900</v>
      </c>
      <c r="M435" s="151">
        <v>41936</v>
      </c>
      <c r="N435" s="18">
        <v>4.71</v>
      </c>
      <c r="O435" s="141">
        <f>K435/N435</f>
        <v>0.004240070604486032</v>
      </c>
      <c r="P435" s="57"/>
    </row>
    <row r="436" spans="1:16" s="101" customFormat="1" ht="22.5">
      <c r="A436" s="6" t="s">
        <v>938</v>
      </c>
      <c r="B436" s="63" t="s">
        <v>307</v>
      </c>
      <c r="C436" s="13" t="s">
        <v>927</v>
      </c>
      <c r="D436" s="13" t="s">
        <v>934</v>
      </c>
      <c r="E436" s="13" t="s">
        <v>1012</v>
      </c>
      <c r="F436" s="3" t="s">
        <v>1008</v>
      </c>
      <c r="G436" s="13" t="s">
        <v>939</v>
      </c>
      <c r="H436" s="36">
        <v>10</v>
      </c>
      <c r="I436" s="15">
        <v>87383</v>
      </c>
      <c r="J436" s="15">
        <v>8912.25</v>
      </c>
      <c r="K436" s="26">
        <f aca="true" t="shared" si="25" ref="K436:K450">J436/I436</f>
        <v>0.1019906617992058</v>
      </c>
      <c r="L436" s="151">
        <v>41757</v>
      </c>
      <c r="M436" s="151">
        <v>41788</v>
      </c>
      <c r="N436" s="18">
        <f>146803.44/87383</f>
        <v>1.68</v>
      </c>
      <c r="O436" s="141">
        <f aca="true" t="shared" si="26" ref="O436:O450">K436/N436</f>
        <v>0.060708727261432026</v>
      </c>
      <c r="P436" s="57"/>
    </row>
    <row r="437" spans="1:16" s="101" customFormat="1" ht="22.5">
      <c r="A437" s="6" t="s">
        <v>933</v>
      </c>
      <c r="B437" s="63" t="s">
        <v>307</v>
      </c>
      <c r="C437" s="13" t="s">
        <v>927</v>
      </c>
      <c r="D437" s="13" t="s">
        <v>934</v>
      </c>
      <c r="E437" s="13" t="s">
        <v>1012</v>
      </c>
      <c r="F437" s="3" t="s">
        <v>1008</v>
      </c>
      <c r="G437" s="13" t="s">
        <v>935</v>
      </c>
      <c r="H437" s="36">
        <v>10</v>
      </c>
      <c r="I437" s="15">
        <v>2042964</v>
      </c>
      <c r="J437" s="15">
        <v>208381.75</v>
      </c>
      <c r="K437" s="26">
        <f t="shared" si="25"/>
        <v>0.10199971707773607</v>
      </c>
      <c r="L437" s="151">
        <v>41757</v>
      </c>
      <c r="M437" s="151">
        <v>41788</v>
      </c>
      <c r="N437" s="18">
        <f>3432179.52/2042964</f>
        <v>1.68</v>
      </c>
      <c r="O437" s="141">
        <f t="shared" si="26"/>
        <v>0.06071411730817623</v>
      </c>
      <c r="P437" s="57"/>
    </row>
    <row r="438" spans="1:16" s="101" customFormat="1" ht="22.5">
      <c r="A438" s="6" t="s">
        <v>936</v>
      </c>
      <c r="B438" s="63" t="s">
        <v>307</v>
      </c>
      <c r="C438" s="13" t="s">
        <v>927</v>
      </c>
      <c r="D438" s="13" t="s">
        <v>934</v>
      </c>
      <c r="E438" s="13" t="s">
        <v>1012</v>
      </c>
      <c r="F438" s="3" t="s">
        <v>1008</v>
      </c>
      <c r="G438" s="13" t="s">
        <v>937</v>
      </c>
      <c r="H438" s="36">
        <v>10</v>
      </c>
      <c r="I438" s="15">
        <v>13250820</v>
      </c>
      <c r="J438" s="15">
        <v>1351583.3</v>
      </c>
      <c r="K438" s="26">
        <f t="shared" si="25"/>
        <v>0.10199997434121058</v>
      </c>
      <c r="L438" s="151">
        <v>41757</v>
      </c>
      <c r="M438" s="151">
        <v>41788</v>
      </c>
      <c r="N438" s="18">
        <f>22261377.6/13250820</f>
        <v>1.6800000000000002</v>
      </c>
      <c r="O438" s="141">
        <f t="shared" si="26"/>
        <v>0.06071427044119677</v>
      </c>
      <c r="P438" s="57"/>
    </row>
    <row r="439" spans="1:16" s="101" customFormat="1" ht="22.5">
      <c r="A439" s="6" t="s">
        <v>926</v>
      </c>
      <c r="B439" s="63" t="s">
        <v>307</v>
      </c>
      <c r="C439" s="13" t="s">
        <v>927</v>
      </c>
      <c r="D439" s="13" t="s">
        <v>930</v>
      </c>
      <c r="E439" s="13" t="s">
        <v>1012</v>
      </c>
      <c r="F439" s="3" t="s">
        <v>1008</v>
      </c>
      <c r="G439" s="13" t="s">
        <v>928</v>
      </c>
      <c r="H439" s="36">
        <v>10</v>
      </c>
      <c r="I439" s="15">
        <v>2119741</v>
      </c>
      <c r="J439" s="15">
        <v>216212.8</v>
      </c>
      <c r="K439" s="26">
        <f t="shared" si="25"/>
        <v>0.10199963108700544</v>
      </c>
      <c r="L439" s="151">
        <v>41757</v>
      </c>
      <c r="M439" s="151">
        <v>41788</v>
      </c>
      <c r="N439" s="18">
        <f>3539967.47/2119741</f>
        <v>1.6700000000000002</v>
      </c>
      <c r="O439" s="141">
        <f t="shared" si="26"/>
        <v>0.061077623405392474</v>
      </c>
      <c r="P439" s="57"/>
    </row>
    <row r="440" spans="1:16" s="101" customFormat="1" ht="22.5">
      <c r="A440" s="6" t="s">
        <v>940</v>
      </c>
      <c r="B440" s="63" t="s">
        <v>307</v>
      </c>
      <c r="C440" s="13" t="s">
        <v>927</v>
      </c>
      <c r="D440" s="13" t="s">
        <v>934</v>
      </c>
      <c r="E440" s="13" t="s">
        <v>1012</v>
      </c>
      <c r="F440" s="3" t="s">
        <v>1008</v>
      </c>
      <c r="G440" s="13" t="s">
        <v>941</v>
      </c>
      <c r="H440" s="36">
        <v>10</v>
      </c>
      <c r="I440" s="15">
        <v>2217090</v>
      </c>
      <c r="J440" s="15">
        <v>226142.5</v>
      </c>
      <c r="K440" s="26">
        <f t="shared" si="25"/>
        <v>0.10199969329165708</v>
      </c>
      <c r="L440" s="151">
        <v>41757</v>
      </c>
      <c r="M440" s="151">
        <v>41788</v>
      </c>
      <c r="N440" s="18">
        <f>3702540.3/2217090</f>
        <v>1.67</v>
      </c>
      <c r="O440" s="141">
        <f t="shared" si="26"/>
        <v>0.061077660653686874</v>
      </c>
      <c r="P440" s="57"/>
    </row>
    <row r="441" spans="1:16" s="101" customFormat="1" ht="22.5">
      <c r="A441" s="6" t="s">
        <v>929</v>
      </c>
      <c r="B441" s="63" t="s">
        <v>307</v>
      </c>
      <c r="C441" s="13" t="s">
        <v>927</v>
      </c>
      <c r="D441" s="13" t="s">
        <v>931</v>
      </c>
      <c r="E441" s="13" t="s">
        <v>1012</v>
      </c>
      <c r="F441" s="3" t="s">
        <v>1008</v>
      </c>
      <c r="G441" s="13" t="s">
        <v>932</v>
      </c>
      <c r="H441" s="36">
        <v>10</v>
      </c>
      <c r="I441" s="15">
        <v>1138651</v>
      </c>
      <c r="J441" s="15">
        <v>116142.3</v>
      </c>
      <c r="K441" s="26">
        <f t="shared" si="25"/>
        <v>0.10199991042031316</v>
      </c>
      <c r="L441" s="151">
        <v>41757</v>
      </c>
      <c r="M441" s="151">
        <v>41788</v>
      </c>
      <c r="N441" s="18">
        <f>1901547.17/1138651</f>
        <v>1.67</v>
      </c>
      <c r="O441" s="141">
        <f t="shared" si="26"/>
        <v>0.061077790670846205</v>
      </c>
      <c r="P441" s="57"/>
    </row>
    <row r="442" spans="1:16" s="101" customFormat="1" ht="78.75">
      <c r="A442" s="6" t="s">
        <v>577</v>
      </c>
      <c r="B442" s="63" t="s">
        <v>307</v>
      </c>
      <c r="C442" s="13" t="s">
        <v>148</v>
      </c>
      <c r="D442" s="13" t="s">
        <v>578</v>
      </c>
      <c r="E442" s="13" t="s">
        <v>1012</v>
      </c>
      <c r="F442" s="3" t="s">
        <v>1107</v>
      </c>
      <c r="G442" s="13" t="s">
        <v>579</v>
      </c>
      <c r="H442" s="36">
        <v>10</v>
      </c>
      <c r="I442" s="15">
        <v>3975277</v>
      </c>
      <c r="J442" s="15">
        <v>151000</v>
      </c>
      <c r="K442" s="26">
        <f t="shared" si="25"/>
        <v>0.037984774394337804</v>
      </c>
      <c r="L442" s="151">
        <v>41901</v>
      </c>
      <c r="M442" s="151">
        <v>41963</v>
      </c>
      <c r="N442" s="18">
        <f>415924.44/364846</f>
        <v>1.14</v>
      </c>
      <c r="O442" s="141">
        <f t="shared" si="26"/>
        <v>0.03331997753889281</v>
      </c>
      <c r="P442" s="57"/>
    </row>
    <row r="443" spans="1:16" s="101" customFormat="1" ht="22.5">
      <c r="A443" s="6" t="s">
        <v>428</v>
      </c>
      <c r="B443" s="63" t="s">
        <v>307</v>
      </c>
      <c r="C443" s="13" t="s">
        <v>1069</v>
      </c>
      <c r="D443" s="13" t="s">
        <v>425</v>
      </c>
      <c r="E443" s="13" t="s">
        <v>1012</v>
      </c>
      <c r="F443" s="3" t="s">
        <v>1008</v>
      </c>
      <c r="G443" s="13" t="s">
        <v>658</v>
      </c>
      <c r="H443" s="36">
        <v>10</v>
      </c>
      <c r="I443" s="15">
        <v>1340001</v>
      </c>
      <c r="J443" s="15">
        <v>34804</v>
      </c>
      <c r="K443" s="26">
        <f t="shared" si="25"/>
        <v>0.02597311494543661</v>
      </c>
      <c r="L443" s="151">
        <v>41835</v>
      </c>
      <c r="M443" s="151">
        <v>41880</v>
      </c>
      <c r="N443" s="18">
        <f>14890277.35/1340001</f>
        <v>11.11213898347837</v>
      </c>
      <c r="O443" s="141">
        <f t="shared" si="26"/>
        <v>0.002337364119010181</v>
      </c>
      <c r="P443" s="57"/>
    </row>
    <row r="444" spans="1:16" s="101" customFormat="1" ht="45">
      <c r="A444" s="6" t="s">
        <v>424</v>
      </c>
      <c r="B444" s="63" t="s">
        <v>307</v>
      </c>
      <c r="C444" s="13" t="s">
        <v>1069</v>
      </c>
      <c r="D444" s="13" t="s">
        <v>425</v>
      </c>
      <c r="E444" s="13" t="s">
        <v>1012</v>
      </c>
      <c r="F444" s="3" t="s">
        <v>426</v>
      </c>
      <c r="G444" s="13" t="s">
        <v>427</v>
      </c>
      <c r="H444" s="36">
        <v>10</v>
      </c>
      <c r="I444" s="15">
        <v>550000</v>
      </c>
      <c r="J444" s="15">
        <v>16943</v>
      </c>
      <c r="K444" s="26">
        <f t="shared" si="25"/>
        <v>0.030805454545454546</v>
      </c>
      <c r="L444" s="151">
        <v>41835</v>
      </c>
      <c r="M444" s="151">
        <v>41880</v>
      </c>
      <c r="N444" s="18">
        <f>3387065/550000</f>
        <v>6.1583</v>
      </c>
      <c r="O444" s="141">
        <f t="shared" si="26"/>
        <v>0.005002265973637943</v>
      </c>
      <c r="P444" s="57"/>
    </row>
    <row r="445" spans="1:16" s="101" customFormat="1" ht="45">
      <c r="A445" s="6" t="s">
        <v>887</v>
      </c>
      <c r="B445" s="63" t="s">
        <v>307</v>
      </c>
      <c r="C445" s="13" t="s">
        <v>1132</v>
      </c>
      <c r="D445" s="13" t="s">
        <v>888</v>
      </c>
      <c r="E445" s="13" t="s">
        <v>1012</v>
      </c>
      <c r="F445" s="3" t="s">
        <v>1008</v>
      </c>
      <c r="G445" s="13" t="s">
        <v>889</v>
      </c>
      <c r="H445" s="36">
        <v>49</v>
      </c>
      <c r="I445" s="15">
        <v>643097</v>
      </c>
      <c r="J445" s="15">
        <v>48344</v>
      </c>
      <c r="K445" s="26">
        <f t="shared" si="25"/>
        <v>0.07517372962399141</v>
      </c>
      <c r="L445" s="151">
        <v>41666</v>
      </c>
      <c r="M445" s="151">
        <v>41695</v>
      </c>
      <c r="N445" s="18">
        <f>1259815.19/643097</f>
        <v>1.9589815999763642</v>
      </c>
      <c r="O445" s="141">
        <f t="shared" si="26"/>
        <v>0.038373882442233456</v>
      </c>
      <c r="P445" s="57"/>
    </row>
    <row r="446" spans="1:16" s="101" customFormat="1" ht="33.75">
      <c r="A446" s="6" t="s">
        <v>884</v>
      </c>
      <c r="B446" s="63" t="s">
        <v>307</v>
      </c>
      <c r="C446" s="13" t="s">
        <v>1132</v>
      </c>
      <c r="D446" s="13" t="s">
        <v>885</v>
      </c>
      <c r="E446" s="13" t="s">
        <v>1012</v>
      </c>
      <c r="F446" s="3" t="s">
        <v>1008</v>
      </c>
      <c r="G446" s="13" t="s">
        <v>886</v>
      </c>
      <c r="H446" s="36">
        <v>49</v>
      </c>
      <c r="I446" s="15">
        <v>933525</v>
      </c>
      <c r="J446" s="15">
        <v>70176</v>
      </c>
      <c r="K446" s="26">
        <f t="shared" si="25"/>
        <v>0.07517313408853539</v>
      </c>
      <c r="L446" s="151">
        <v>41666</v>
      </c>
      <c r="M446" s="151">
        <v>41695</v>
      </c>
      <c r="N446" s="18">
        <f>2024943.44/933525</f>
        <v>2.1691368094052113</v>
      </c>
      <c r="O446" s="141">
        <f t="shared" si="26"/>
        <v>0.03465578278077733</v>
      </c>
      <c r="P446" s="57"/>
    </row>
    <row r="447" spans="1:15" s="101" customFormat="1" ht="22.5">
      <c r="A447" s="6" t="s">
        <v>141</v>
      </c>
      <c r="B447" s="63" t="s">
        <v>307</v>
      </c>
      <c r="C447" s="63" t="s">
        <v>1132</v>
      </c>
      <c r="D447" s="13" t="s">
        <v>142</v>
      </c>
      <c r="E447" s="13" t="s">
        <v>1012</v>
      </c>
      <c r="F447" s="3" t="s">
        <v>1008</v>
      </c>
      <c r="G447" s="13" t="s">
        <v>144</v>
      </c>
      <c r="H447" s="36">
        <v>49</v>
      </c>
      <c r="I447" s="15">
        <v>302838</v>
      </c>
      <c r="J447" s="15">
        <v>20632</v>
      </c>
      <c r="K447" s="26">
        <f t="shared" si="25"/>
        <v>0.06812883455841076</v>
      </c>
      <c r="L447" s="136">
        <v>41766</v>
      </c>
      <c r="M447" s="136">
        <v>41810</v>
      </c>
      <c r="N447" s="18">
        <f>744981.48/302838</f>
        <v>2.46</v>
      </c>
      <c r="O447" s="141">
        <f t="shared" si="26"/>
        <v>0.02769464819447592</v>
      </c>
    </row>
    <row r="448" spans="1:16" s="101" customFormat="1" ht="22.5">
      <c r="A448" s="6" t="s">
        <v>574</v>
      </c>
      <c r="B448" s="63" t="s">
        <v>307</v>
      </c>
      <c r="C448" s="63" t="s">
        <v>1132</v>
      </c>
      <c r="D448" s="13" t="s">
        <v>575</v>
      </c>
      <c r="E448" s="13" t="s">
        <v>1012</v>
      </c>
      <c r="F448" s="3" t="s">
        <v>1107</v>
      </c>
      <c r="G448" s="13" t="s">
        <v>576</v>
      </c>
      <c r="H448" s="36">
        <v>49</v>
      </c>
      <c r="I448" s="15">
        <v>677958</v>
      </c>
      <c r="J448" s="15">
        <v>51639</v>
      </c>
      <c r="K448" s="26">
        <f t="shared" si="25"/>
        <v>0.0761684352128008</v>
      </c>
      <c r="L448" s="151">
        <v>41963</v>
      </c>
      <c r="M448" s="151">
        <v>41995</v>
      </c>
      <c r="N448" s="18">
        <f>1308458.94/677958</f>
        <v>1.93</v>
      </c>
      <c r="O448" s="141">
        <f t="shared" si="26"/>
        <v>0.03946551047295378</v>
      </c>
      <c r="P448" s="57"/>
    </row>
    <row r="449" spans="1:16" s="101" customFormat="1" ht="33.75">
      <c r="A449" s="6" t="s">
        <v>98</v>
      </c>
      <c r="B449" s="63" t="s">
        <v>307</v>
      </c>
      <c r="C449" s="63" t="s">
        <v>804</v>
      </c>
      <c r="D449" s="13" t="s">
        <v>99</v>
      </c>
      <c r="E449" s="13" t="s">
        <v>1012</v>
      </c>
      <c r="F449" s="3" t="s">
        <v>1107</v>
      </c>
      <c r="G449" s="13" t="s">
        <v>100</v>
      </c>
      <c r="H449" s="36">
        <v>49</v>
      </c>
      <c r="I449" s="15">
        <v>21500</v>
      </c>
      <c r="J449" s="15">
        <v>711.02</v>
      </c>
      <c r="K449" s="26">
        <f t="shared" si="25"/>
        <v>0.0330706976744186</v>
      </c>
      <c r="L449" s="151">
        <v>41942</v>
      </c>
      <c r="M449" s="151">
        <v>41981</v>
      </c>
      <c r="N449" s="18">
        <f>34400/21500</f>
        <v>1.6</v>
      </c>
      <c r="O449" s="141">
        <f t="shared" si="26"/>
        <v>0.020669186046511624</v>
      </c>
      <c r="P449" s="57"/>
    </row>
    <row r="450" spans="1:16" s="101" customFormat="1" ht="33.75">
      <c r="A450" s="6" t="s">
        <v>477</v>
      </c>
      <c r="B450" s="63" t="s">
        <v>307</v>
      </c>
      <c r="C450" s="13" t="s">
        <v>1073</v>
      </c>
      <c r="D450" s="13" t="s">
        <v>478</v>
      </c>
      <c r="E450" s="13" t="s">
        <v>1012</v>
      </c>
      <c r="F450" s="3" t="s">
        <v>1172</v>
      </c>
      <c r="G450" s="13" t="s">
        <v>479</v>
      </c>
      <c r="H450" s="36">
        <v>10</v>
      </c>
      <c r="I450" s="15">
        <v>21237</v>
      </c>
      <c r="J450" s="15">
        <v>2706</v>
      </c>
      <c r="K450" s="26">
        <f t="shared" si="25"/>
        <v>0.12741912699533833</v>
      </c>
      <c r="L450" s="151">
        <v>41950</v>
      </c>
      <c r="M450" s="151">
        <v>41984</v>
      </c>
      <c r="N450" s="18">
        <f>69869.73/21237</f>
        <v>3.2899999999999996</v>
      </c>
      <c r="O450" s="141">
        <f t="shared" si="26"/>
        <v>0.038729217931713786</v>
      </c>
      <c r="P450" s="57"/>
    </row>
    <row r="451" spans="1:16" s="101" customFormat="1" ht="22.5">
      <c r="A451" s="6" t="s">
        <v>814</v>
      </c>
      <c r="B451" s="63" t="s">
        <v>307</v>
      </c>
      <c r="C451" s="13" t="s">
        <v>810</v>
      </c>
      <c r="D451" s="13" t="s">
        <v>811</v>
      </c>
      <c r="E451" s="13" t="s">
        <v>1012</v>
      </c>
      <c r="F451" s="3" t="s">
        <v>1008</v>
      </c>
      <c r="G451" s="13" t="s">
        <v>815</v>
      </c>
      <c r="H451" s="36">
        <v>5</v>
      </c>
      <c r="I451" s="15">
        <v>7274000</v>
      </c>
      <c r="J451" s="15">
        <v>95075</v>
      </c>
      <c r="K451" s="26">
        <f>J451/I451</f>
        <v>0.013070525158097333</v>
      </c>
      <c r="L451" s="151">
        <v>41664</v>
      </c>
      <c r="M451" s="151">
        <v>41695</v>
      </c>
      <c r="N451" s="18">
        <f>8728800/7274000</f>
        <v>1.2</v>
      </c>
      <c r="O451" s="141">
        <f>K451/N451</f>
        <v>0.010892104298414446</v>
      </c>
      <c r="P451" s="57"/>
    </row>
    <row r="452" spans="1:11" ht="15.75">
      <c r="A452" s="78"/>
      <c r="C452" s="2"/>
      <c r="D452" s="2"/>
      <c r="E452" s="2"/>
      <c r="F452" s="24"/>
      <c r="G452" s="2"/>
      <c r="H452" s="24"/>
      <c r="I452" s="24"/>
      <c r="J452" s="24"/>
      <c r="K452" s="2"/>
    </row>
    <row r="453" spans="1:11" ht="15.75">
      <c r="A453" s="78"/>
      <c r="C453" s="2"/>
      <c r="D453" s="2"/>
      <c r="E453" s="2"/>
      <c r="F453" s="24"/>
      <c r="G453" s="2"/>
      <c r="H453" s="24"/>
      <c r="I453" s="24"/>
      <c r="J453" s="24"/>
      <c r="K453" s="2"/>
    </row>
    <row r="454" spans="1:15" s="40" customFormat="1" ht="21" thickBot="1">
      <c r="A454" s="39" t="s">
        <v>313</v>
      </c>
      <c r="B454" s="39"/>
      <c r="C454" s="39"/>
      <c r="F454" s="41"/>
      <c r="H454" s="41"/>
      <c r="I454" s="41"/>
      <c r="J454" s="41"/>
      <c r="L454" s="42"/>
      <c r="M454" s="42"/>
      <c r="N454" s="43"/>
      <c r="O454" s="44"/>
    </row>
    <row r="455" spans="1:15" ht="33.75">
      <c r="A455" s="9"/>
      <c r="B455" s="11" t="s">
        <v>123</v>
      </c>
      <c r="C455" s="10" t="s">
        <v>304</v>
      </c>
      <c r="D455" s="10" t="s">
        <v>1004</v>
      </c>
      <c r="E455" s="10" t="s">
        <v>1013</v>
      </c>
      <c r="F455" s="10" t="s">
        <v>1005</v>
      </c>
      <c r="G455" s="10" t="s">
        <v>1014</v>
      </c>
      <c r="H455" s="10" t="s">
        <v>1016</v>
      </c>
      <c r="I455" s="10" t="s">
        <v>1003</v>
      </c>
      <c r="J455" s="10" t="s">
        <v>1018</v>
      </c>
      <c r="K455" s="10" t="s">
        <v>1007</v>
      </c>
      <c r="L455" s="10" t="s">
        <v>1019</v>
      </c>
      <c r="M455" s="10" t="s">
        <v>1020</v>
      </c>
      <c r="N455" s="32" t="s">
        <v>1051</v>
      </c>
      <c r="O455" s="33" t="s">
        <v>1052</v>
      </c>
    </row>
    <row r="456" spans="1:17" ht="22.5">
      <c r="A456" s="6" t="s">
        <v>697</v>
      </c>
      <c r="B456" s="63" t="s">
        <v>308</v>
      </c>
      <c r="C456" s="13" t="s">
        <v>699</v>
      </c>
      <c r="D456" s="13" t="s">
        <v>698</v>
      </c>
      <c r="E456" s="13" t="s">
        <v>1012</v>
      </c>
      <c r="F456" s="3" t="s">
        <v>1107</v>
      </c>
      <c r="G456" s="13" t="s">
        <v>700</v>
      </c>
      <c r="H456" s="3">
        <v>5</v>
      </c>
      <c r="I456" s="15">
        <v>50000</v>
      </c>
      <c r="J456" s="15">
        <v>7200</v>
      </c>
      <c r="K456" s="26">
        <f aca="true" t="shared" si="27" ref="K456:K484">J456/I456</f>
        <v>0.144</v>
      </c>
      <c r="L456" s="136">
        <v>41747</v>
      </c>
      <c r="M456" s="136" t="s">
        <v>346</v>
      </c>
      <c r="N456" s="18">
        <f>329500/50000</f>
        <v>6.59</v>
      </c>
      <c r="O456" s="137">
        <f aca="true" t="shared" si="28" ref="O456:O484">K456/N456</f>
        <v>0.021851289833080424</v>
      </c>
      <c r="P456" s="27"/>
      <c r="Q456" s="27"/>
    </row>
    <row r="457" spans="1:16" ht="22.5">
      <c r="A457" s="6" t="s">
        <v>410</v>
      </c>
      <c r="B457" s="13" t="s">
        <v>308</v>
      </c>
      <c r="C457" s="13" t="s">
        <v>246</v>
      </c>
      <c r="D457" s="13" t="s">
        <v>407</v>
      </c>
      <c r="E457" s="13" t="s">
        <v>1012</v>
      </c>
      <c r="F457" s="3" t="s">
        <v>1008</v>
      </c>
      <c r="G457" s="13" t="s">
        <v>411</v>
      </c>
      <c r="H457" s="3">
        <v>5</v>
      </c>
      <c r="I457" s="15">
        <v>702000</v>
      </c>
      <c r="J457" s="15">
        <v>31200</v>
      </c>
      <c r="K457" s="26">
        <f t="shared" si="27"/>
        <v>0.044444444444444446</v>
      </c>
      <c r="L457" s="136" t="s">
        <v>345</v>
      </c>
      <c r="M457" s="136" t="s">
        <v>412</v>
      </c>
      <c r="N457" s="18">
        <f>3144960/702000</f>
        <v>4.48</v>
      </c>
      <c r="O457" s="137">
        <f t="shared" si="28"/>
        <v>0.00992063492063492</v>
      </c>
      <c r="P457" s="27"/>
    </row>
    <row r="458" spans="1:16" ht="45">
      <c r="A458" s="6" t="s">
        <v>413</v>
      </c>
      <c r="B458" s="13" t="s">
        <v>308</v>
      </c>
      <c r="C458" s="13" t="s">
        <v>246</v>
      </c>
      <c r="D458" s="13" t="s">
        <v>407</v>
      </c>
      <c r="E458" s="13" t="s">
        <v>1012</v>
      </c>
      <c r="F458" s="3" t="s">
        <v>414</v>
      </c>
      <c r="G458" s="13" t="s">
        <v>415</v>
      </c>
      <c r="H458" s="3">
        <v>5</v>
      </c>
      <c r="I458" s="15">
        <v>560000</v>
      </c>
      <c r="J458" s="15">
        <v>24900</v>
      </c>
      <c r="K458" s="26">
        <f t="shared" si="27"/>
        <v>0.04446428571428571</v>
      </c>
      <c r="L458" s="136" t="s">
        <v>345</v>
      </c>
      <c r="M458" s="136" t="s">
        <v>412</v>
      </c>
      <c r="N458" s="18">
        <f>2458400/560000</f>
        <v>4.39</v>
      </c>
      <c r="O458" s="137">
        <f t="shared" si="28"/>
        <v>0.01012853888708103</v>
      </c>
      <c r="P458" s="27"/>
    </row>
    <row r="459" spans="1:16" ht="22.5">
      <c r="A459" s="6" t="s">
        <v>471</v>
      </c>
      <c r="B459" s="63" t="s">
        <v>308</v>
      </c>
      <c r="C459" s="13" t="s">
        <v>246</v>
      </c>
      <c r="D459" s="13" t="s">
        <v>472</v>
      </c>
      <c r="E459" s="13" t="s">
        <v>1012</v>
      </c>
      <c r="F459" s="3" t="s">
        <v>473</v>
      </c>
      <c r="G459" s="13" t="s">
        <v>474</v>
      </c>
      <c r="H459" s="3">
        <v>5</v>
      </c>
      <c r="I459" s="15">
        <v>722800</v>
      </c>
      <c r="J459" s="15">
        <v>86400</v>
      </c>
      <c r="K459" s="26">
        <f t="shared" si="27"/>
        <v>0.11953514111787493</v>
      </c>
      <c r="L459" s="136" t="s">
        <v>475</v>
      </c>
      <c r="M459" s="136" t="s">
        <v>476</v>
      </c>
      <c r="N459" s="18">
        <f>3238144/722800</f>
        <v>4.48</v>
      </c>
      <c r="O459" s="137">
        <f t="shared" si="28"/>
        <v>0.026681951142382795</v>
      </c>
      <c r="P459" s="27"/>
    </row>
    <row r="460" spans="1:16" ht="33.75">
      <c r="A460" s="6" t="s">
        <v>416</v>
      </c>
      <c r="B460" s="63" t="s">
        <v>308</v>
      </c>
      <c r="C460" s="13" t="s">
        <v>246</v>
      </c>
      <c r="D460" s="13" t="s">
        <v>407</v>
      </c>
      <c r="E460" s="13" t="s">
        <v>1012</v>
      </c>
      <c r="F460" s="3" t="s">
        <v>1036</v>
      </c>
      <c r="G460" s="13" t="s">
        <v>417</v>
      </c>
      <c r="H460" s="3">
        <v>5</v>
      </c>
      <c r="I460" s="15">
        <v>620000</v>
      </c>
      <c r="J460" s="15">
        <v>80400</v>
      </c>
      <c r="K460" s="26">
        <f t="shared" si="27"/>
        <v>0.1296774193548387</v>
      </c>
      <c r="L460" s="136" t="s">
        <v>345</v>
      </c>
      <c r="M460" s="136" t="s">
        <v>412</v>
      </c>
      <c r="N460" s="18">
        <f>2777600/620000</f>
        <v>4.48</v>
      </c>
      <c r="O460" s="137">
        <f t="shared" si="28"/>
        <v>0.028945852534562208</v>
      </c>
      <c r="P460" s="27"/>
    </row>
    <row r="461" spans="1:16" ht="22.5">
      <c r="A461" s="6" t="s">
        <v>406</v>
      </c>
      <c r="B461" s="63" t="s">
        <v>308</v>
      </c>
      <c r="C461" s="13" t="s">
        <v>246</v>
      </c>
      <c r="D461" s="13" t="s">
        <v>407</v>
      </c>
      <c r="E461" s="13" t="s">
        <v>1012</v>
      </c>
      <c r="F461" s="3" t="s">
        <v>1008</v>
      </c>
      <c r="G461" s="13" t="s">
        <v>408</v>
      </c>
      <c r="H461" s="3">
        <v>5</v>
      </c>
      <c r="I461" s="15">
        <v>7187000</v>
      </c>
      <c r="J461" s="15">
        <v>932300</v>
      </c>
      <c r="K461" s="26">
        <f t="shared" si="27"/>
        <v>0.12972032837066927</v>
      </c>
      <c r="L461" s="136" t="s">
        <v>345</v>
      </c>
      <c r="M461" s="136" t="s">
        <v>409</v>
      </c>
      <c r="N461" s="18">
        <f>32197760/7187000</f>
        <v>4.48</v>
      </c>
      <c r="O461" s="137">
        <f t="shared" si="28"/>
        <v>0.02895543043988153</v>
      </c>
      <c r="P461" s="27"/>
    </row>
    <row r="462" spans="1:16" ht="22.5">
      <c r="A462" s="6" t="s">
        <v>659</v>
      </c>
      <c r="B462" s="63" t="s">
        <v>308</v>
      </c>
      <c r="C462" s="13" t="s">
        <v>246</v>
      </c>
      <c r="D462" s="13" t="s">
        <v>660</v>
      </c>
      <c r="E462" s="13" t="s">
        <v>1012</v>
      </c>
      <c r="F462" s="3" t="s">
        <v>1008</v>
      </c>
      <c r="G462" s="13" t="s">
        <v>661</v>
      </c>
      <c r="H462" s="3">
        <v>5</v>
      </c>
      <c r="I462" s="15">
        <v>66000</v>
      </c>
      <c r="J462" s="15">
        <v>10705</v>
      </c>
      <c r="K462" s="26">
        <f t="shared" si="27"/>
        <v>0.1621969696969697</v>
      </c>
      <c r="L462" s="136">
        <v>41799</v>
      </c>
      <c r="M462" s="136" t="s">
        <v>662</v>
      </c>
      <c r="N462" s="18">
        <f>360360/66000</f>
        <v>5.46</v>
      </c>
      <c r="O462" s="137">
        <f t="shared" si="28"/>
        <v>0.029706404706404708</v>
      </c>
      <c r="P462" s="27"/>
    </row>
    <row r="463" spans="1:16" ht="22.5">
      <c r="A463" s="6" t="s">
        <v>961</v>
      </c>
      <c r="B463" s="63" t="s">
        <v>308</v>
      </c>
      <c r="C463" s="13" t="s">
        <v>246</v>
      </c>
      <c r="D463" s="13" t="s">
        <v>962</v>
      </c>
      <c r="E463" s="13" t="s">
        <v>1012</v>
      </c>
      <c r="F463" s="3" t="s">
        <v>1006</v>
      </c>
      <c r="G463" s="13" t="s">
        <v>963</v>
      </c>
      <c r="H463" s="3">
        <v>5</v>
      </c>
      <c r="I463" s="15">
        <v>773500</v>
      </c>
      <c r="J463" s="15">
        <v>156247</v>
      </c>
      <c r="K463" s="26">
        <f t="shared" si="27"/>
        <v>0.202</v>
      </c>
      <c r="L463" s="136">
        <v>41670</v>
      </c>
      <c r="M463" s="136" t="s">
        <v>146</v>
      </c>
      <c r="N463" s="18">
        <f>4223310/773500</f>
        <v>5.46</v>
      </c>
      <c r="O463" s="137">
        <f t="shared" si="28"/>
        <v>0.036996336996337</v>
      </c>
      <c r="P463" s="27"/>
    </row>
    <row r="464" spans="1:17" ht="22.5">
      <c r="A464" s="6" t="s">
        <v>964</v>
      </c>
      <c r="B464" s="63" t="s">
        <v>308</v>
      </c>
      <c r="C464" s="13" t="s">
        <v>246</v>
      </c>
      <c r="D464" s="13" t="s">
        <v>962</v>
      </c>
      <c r="E464" s="13" t="s">
        <v>1012</v>
      </c>
      <c r="F464" s="3" t="s">
        <v>1006</v>
      </c>
      <c r="G464" s="13" t="s">
        <v>965</v>
      </c>
      <c r="H464" s="3">
        <v>5</v>
      </c>
      <c r="I464" s="15">
        <v>575000</v>
      </c>
      <c r="J464" s="15">
        <v>116150</v>
      </c>
      <c r="K464" s="26">
        <f t="shared" si="27"/>
        <v>0.202</v>
      </c>
      <c r="L464" s="136">
        <v>41670</v>
      </c>
      <c r="M464" s="136" t="s">
        <v>146</v>
      </c>
      <c r="N464" s="18">
        <f>3139500/575000</f>
        <v>5.46</v>
      </c>
      <c r="O464" s="137">
        <f t="shared" si="28"/>
        <v>0.036996336996337</v>
      </c>
      <c r="P464" s="27"/>
      <c r="Q464" s="27"/>
    </row>
    <row r="465" spans="1:17" ht="22.5">
      <c r="A465" s="6" t="s">
        <v>966</v>
      </c>
      <c r="B465" s="63" t="s">
        <v>308</v>
      </c>
      <c r="C465" s="13" t="s">
        <v>246</v>
      </c>
      <c r="D465" s="13" t="s">
        <v>962</v>
      </c>
      <c r="E465" s="13" t="s">
        <v>1012</v>
      </c>
      <c r="F465" s="3" t="s">
        <v>1006</v>
      </c>
      <c r="G465" s="13" t="s">
        <v>967</v>
      </c>
      <c r="H465" s="3">
        <v>5</v>
      </c>
      <c r="I465" s="15">
        <v>678000</v>
      </c>
      <c r="J465" s="15">
        <v>136956</v>
      </c>
      <c r="K465" s="26">
        <f t="shared" si="27"/>
        <v>0.202</v>
      </c>
      <c r="L465" s="136">
        <v>41670</v>
      </c>
      <c r="M465" s="136" t="s">
        <v>146</v>
      </c>
      <c r="N465" s="18">
        <f>3701880/678000</f>
        <v>5.46</v>
      </c>
      <c r="O465" s="137">
        <f t="shared" si="28"/>
        <v>0.036996336996337</v>
      </c>
      <c r="P465" s="27"/>
      <c r="Q465" s="27"/>
    </row>
    <row r="466" spans="1:17" ht="22.5">
      <c r="A466" s="46" t="s">
        <v>685</v>
      </c>
      <c r="B466" s="144" t="s">
        <v>308</v>
      </c>
      <c r="C466" s="47" t="s">
        <v>145</v>
      </c>
      <c r="D466" s="47" t="s">
        <v>686</v>
      </c>
      <c r="E466" s="47" t="s">
        <v>1012</v>
      </c>
      <c r="F466" s="48" t="s">
        <v>687</v>
      </c>
      <c r="G466" s="47" t="s">
        <v>688</v>
      </c>
      <c r="H466" s="48">
        <v>5</v>
      </c>
      <c r="I466" s="49">
        <v>665657</v>
      </c>
      <c r="J466" s="49">
        <v>243678</v>
      </c>
      <c r="K466" s="50">
        <f t="shared" si="27"/>
        <v>0.3660714151582572</v>
      </c>
      <c r="L466" s="59">
        <v>41716</v>
      </c>
      <c r="M466" s="59" t="s">
        <v>689</v>
      </c>
      <c r="N466" s="145">
        <f>10778311.49/665657</f>
        <v>16.191990003860848</v>
      </c>
      <c r="O466" s="148">
        <f t="shared" si="28"/>
        <v>0.022608179419019554</v>
      </c>
      <c r="P466" s="27"/>
      <c r="Q466" s="27"/>
    </row>
    <row r="467" spans="1:17" ht="22.5">
      <c r="A467" s="6" t="s">
        <v>988</v>
      </c>
      <c r="B467" s="13" t="s">
        <v>308</v>
      </c>
      <c r="C467" s="13" t="s">
        <v>1047</v>
      </c>
      <c r="D467" s="13" t="s">
        <v>983</v>
      </c>
      <c r="E467" s="13" t="s">
        <v>1012</v>
      </c>
      <c r="F467" s="3" t="s">
        <v>1006</v>
      </c>
      <c r="G467" s="13" t="s">
        <v>989</v>
      </c>
      <c r="H467" s="3">
        <v>5</v>
      </c>
      <c r="I467" s="15">
        <v>210000</v>
      </c>
      <c r="J467" s="15">
        <v>11100</v>
      </c>
      <c r="K467" s="26">
        <f t="shared" si="27"/>
        <v>0.05285714285714286</v>
      </c>
      <c r="L467" s="136">
        <v>41850</v>
      </c>
      <c r="M467" s="136" t="s">
        <v>985</v>
      </c>
      <c r="N467" s="18">
        <f>1514100/210000</f>
        <v>7.21</v>
      </c>
      <c r="O467" s="137">
        <f t="shared" si="28"/>
        <v>0.007331087774915792</v>
      </c>
      <c r="P467" s="27"/>
      <c r="Q467" s="27"/>
    </row>
    <row r="468" spans="1:15" ht="22.5">
      <c r="A468" s="6" t="s">
        <v>1046</v>
      </c>
      <c r="B468" s="13" t="s">
        <v>308</v>
      </c>
      <c r="C468" s="13" t="s">
        <v>1047</v>
      </c>
      <c r="D468" s="13" t="s">
        <v>1048</v>
      </c>
      <c r="E468" s="13" t="s">
        <v>1012</v>
      </c>
      <c r="F468" s="3" t="s">
        <v>1006</v>
      </c>
      <c r="G468" s="13" t="s">
        <v>1049</v>
      </c>
      <c r="H468" s="3">
        <v>5</v>
      </c>
      <c r="I468" s="15">
        <v>100000</v>
      </c>
      <c r="J468" s="15">
        <v>5000</v>
      </c>
      <c r="K468" s="26">
        <f t="shared" si="27"/>
        <v>0.05</v>
      </c>
      <c r="L468" s="136">
        <v>41824</v>
      </c>
      <c r="M468" s="3" t="s">
        <v>1050</v>
      </c>
      <c r="N468" s="18">
        <f>437000/100000</f>
        <v>4.37</v>
      </c>
      <c r="O468" s="137">
        <f t="shared" si="28"/>
        <v>0.011441647597254004</v>
      </c>
    </row>
    <row r="469" spans="1:17" ht="22.5">
      <c r="A469" s="6" t="s">
        <v>631</v>
      </c>
      <c r="B469" s="13" t="s">
        <v>308</v>
      </c>
      <c r="C469" s="13" t="s">
        <v>1047</v>
      </c>
      <c r="D469" s="13" t="s">
        <v>1048</v>
      </c>
      <c r="E469" s="13" t="s">
        <v>1012</v>
      </c>
      <c r="F469" s="3" t="s">
        <v>1006</v>
      </c>
      <c r="G469" s="13" t="s">
        <v>632</v>
      </c>
      <c r="H469" s="3">
        <v>5</v>
      </c>
      <c r="I469" s="15">
        <v>100000</v>
      </c>
      <c r="J469" s="15">
        <v>5000</v>
      </c>
      <c r="K469" s="26">
        <f t="shared" si="27"/>
        <v>0.05</v>
      </c>
      <c r="L469" s="136">
        <v>41905</v>
      </c>
      <c r="M469" s="136" t="s">
        <v>633</v>
      </c>
      <c r="N469" s="18">
        <f>437000/100000</f>
        <v>4.37</v>
      </c>
      <c r="O469" s="137">
        <f t="shared" si="28"/>
        <v>0.011441647597254004</v>
      </c>
      <c r="P469" s="27"/>
      <c r="Q469" s="27"/>
    </row>
    <row r="470" spans="1:17" ht="22.5">
      <c r="A470" s="6" t="s">
        <v>634</v>
      </c>
      <c r="B470" s="13" t="s">
        <v>308</v>
      </c>
      <c r="C470" s="13" t="s">
        <v>1047</v>
      </c>
      <c r="D470" s="13" t="s">
        <v>1048</v>
      </c>
      <c r="E470" s="13" t="s">
        <v>1012</v>
      </c>
      <c r="F470" s="3" t="s">
        <v>1006</v>
      </c>
      <c r="G470" s="13" t="s">
        <v>635</v>
      </c>
      <c r="H470" s="3">
        <v>5</v>
      </c>
      <c r="I470" s="15">
        <v>100000</v>
      </c>
      <c r="J470" s="15">
        <v>5000</v>
      </c>
      <c r="K470" s="26">
        <f t="shared" si="27"/>
        <v>0.05</v>
      </c>
      <c r="L470" s="136">
        <v>41905</v>
      </c>
      <c r="M470" s="136" t="s">
        <v>633</v>
      </c>
      <c r="N470" s="18">
        <f>437000/100000</f>
        <v>4.37</v>
      </c>
      <c r="O470" s="137">
        <f t="shared" si="28"/>
        <v>0.011441647597254004</v>
      </c>
      <c r="P470" s="27"/>
      <c r="Q470" s="27"/>
    </row>
    <row r="471" spans="1:17" ht="22.5">
      <c r="A471" s="6" t="s">
        <v>636</v>
      </c>
      <c r="B471" s="13" t="s">
        <v>308</v>
      </c>
      <c r="C471" s="13" t="s">
        <v>1047</v>
      </c>
      <c r="D471" s="13" t="s">
        <v>1048</v>
      </c>
      <c r="E471" s="13" t="s">
        <v>1012</v>
      </c>
      <c r="F471" s="3" t="s">
        <v>1006</v>
      </c>
      <c r="G471" s="13" t="s">
        <v>637</v>
      </c>
      <c r="H471" s="3">
        <v>5</v>
      </c>
      <c r="I471" s="15">
        <v>100000</v>
      </c>
      <c r="J471" s="15">
        <v>5000</v>
      </c>
      <c r="K471" s="26">
        <f t="shared" si="27"/>
        <v>0.05</v>
      </c>
      <c r="L471" s="136">
        <v>41905</v>
      </c>
      <c r="M471" s="136" t="s">
        <v>633</v>
      </c>
      <c r="N471" s="18">
        <f>437000/100000</f>
        <v>4.37</v>
      </c>
      <c r="O471" s="137">
        <f t="shared" si="28"/>
        <v>0.011441647597254004</v>
      </c>
      <c r="P471" s="27"/>
      <c r="Q471" s="27"/>
    </row>
    <row r="472" spans="1:17" ht="22.5">
      <c r="A472" s="46" t="s">
        <v>986</v>
      </c>
      <c r="B472" s="13" t="s">
        <v>308</v>
      </c>
      <c r="C472" s="13" t="s">
        <v>1047</v>
      </c>
      <c r="D472" s="47" t="s">
        <v>983</v>
      </c>
      <c r="E472" s="13" t="s">
        <v>1012</v>
      </c>
      <c r="F472" s="48" t="s">
        <v>1006</v>
      </c>
      <c r="G472" s="47" t="s">
        <v>987</v>
      </c>
      <c r="H472" s="48">
        <v>5</v>
      </c>
      <c r="I472" s="49">
        <v>127000</v>
      </c>
      <c r="J472" s="49">
        <v>10600</v>
      </c>
      <c r="K472" s="50">
        <f t="shared" si="27"/>
        <v>0.08346456692913386</v>
      </c>
      <c r="L472" s="59">
        <v>41850</v>
      </c>
      <c r="M472" s="59" t="s">
        <v>985</v>
      </c>
      <c r="N472" s="145">
        <f>875030/127000</f>
        <v>6.89</v>
      </c>
      <c r="O472" s="137">
        <f t="shared" si="28"/>
        <v>0.012113870381586917</v>
      </c>
      <c r="P472" s="27"/>
      <c r="Q472" s="27"/>
    </row>
    <row r="473" spans="1:17" ht="22.5">
      <c r="A473" s="46" t="s">
        <v>982</v>
      </c>
      <c r="B473" s="13" t="s">
        <v>308</v>
      </c>
      <c r="C473" s="13" t="s">
        <v>1047</v>
      </c>
      <c r="D473" s="47" t="s">
        <v>983</v>
      </c>
      <c r="E473" s="13" t="s">
        <v>1012</v>
      </c>
      <c r="F473" s="48" t="s">
        <v>1006</v>
      </c>
      <c r="G473" s="47" t="s">
        <v>984</v>
      </c>
      <c r="H473" s="48">
        <v>5</v>
      </c>
      <c r="I473" s="49">
        <v>236000</v>
      </c>
      <c r="J473" s="49">
        <v>19800</v>
      </c>
      <c r="K473" s="50">
        <f t="shared" si="27"/>
        <v>0.08389830508474576</v>
      </c>
      <c r="L473" s="59">
        <v>41850</v>
      </c>
      <c r="M473" s="59" t="s">
        <v>985</v>
      </c>
      <c r="N473" s="145">
        <f>1626040/236000</f>
        <v>6.89</v>
      </c>
      <c r="O473" s="137">
        <f t="shared" si="28"/>
        <v>0.012176822218395611</v>
      </c>
      <c r="P473" s="27"/>
      <c r="Q473" s="27"/>
    </row>
    <row r="474" spans="1:15" ht="22.5">
      <c r="A474" s="46" t="s">
        <v>1054</v>
      </c>
      <c r="B474" s="13" t="s">
        <v>308</v>
      </c>
      <c r="C474" s="13" t="s">
        <v>1047</v>
      </c>
      <c r="D474" s="47" t="s">
        <v>1055</v>
      </c>
      <c r="E474" s="13" t="s">
        <v>1012</v>
      </c>
      <c r="F474" s="48" t="s">
        <v>1006</v>
      </c>
      <c r="G474" s="47" t="s">
        <v>1056</v>
      </c>
      <c r="H474" s="48">
        <v>5</v>
      </c>
      <c r="I474" s="49">
        <v>30000</v>
      </c>
      <c r="J474" s="49">
        <v>1600</v>
      </c>
      <c r="K474" s="50">
        <f t="shared" si="27"/>
        <v>0.05333333333333334</v>
      </c>
      <c r="L474" s="48" t="s">
        <v>1042</v>
      </c>
      <c r="M474" s="48" t="s">
        <v>1050</v>
      </c>
      <c r="N474" s="145">
        <f>131100/30000</f>
        <v>4.37</v>
      </c>
      <c r="O474" s="137">
        <f t="shared" si="28"/>
        <v>0.012204424103737605</v>
      </c>
    </row>
    <row r="475" spans="1:17" ht="33.75">
      <c r="A475" s="46" t="s">
        <v>480</v>
      </c>
      <c r="B475" s="13" t="s">
        <v>308</v>
      </c>
      <c r="C475" s="13" t="s">
        <v>1047</v>
      </c>
      <c r="D475" s="47" t="s">
        <v>481</v>
      </c>
      <c r="E475" s="13" t="s">
        <v>1012</v>
      </c>
      <c r="F475" s="48" t="s">
        <v>482</v>
      </c>
      <c r="G475" s="47" t="s">
        <v>483</v>
      </c>
      <c r="H475" s="48">
        <v>5</v>
      </c>
      <c r="I475" s="49">
        <v>350000</v>
      </c>
      <c r="J475" s="49">
        <v>32200</v>
      </c>
      <c r="K475" s="50">
        <f t="shared" si="27"/>
        <v>0.092</v>
      </c>
      <c r="L475" s="59">
        <v>41920</v>
      </c>
      <c r="M475" s="59">
        <v>41956</v>
      </c>
      <c r="N475" s="145">
        <f>2387000/350000</f>
        <v>6.82</v>
      </c>
      <c r="O475" s="137">
        <f t="shared" si="28"/>
        <v>0.01348973607038123</v>
      </c>
      <c r="P475" s="27"/>
      <c r="Q475" s="27"/>
    </row>
    <row r="476" spans="1:17" ht="22.5">
      <c r="A476" s="46" t="s">
        <v>538</v>
      </c>
      <c r="B476" s="13" t="s">
        <v>308</v>
      </c>
      <c r="C476" s="13" t="s">
        <v>1047</v>
      </c>
      <c r="D476" s="47" t="s">
        <v>740</v>
      </c>
      <c r="E476" s="13" t="s">
        <v>1012</v>
      </c>
      <c r="F476" s="48" t="s">
        <v>1094</v>
      </c>
      <c r="G476" s="47" t="s">
        <v>539</v>
      </c>
      <c r="H476" s="48">
        <v>5</v>
      </c>
      <c r="I476" s="49">
        <v>84708</v>
      </c>
      <c r="J476" s="49">
        <v>6389</v>
      </c>
      <c r="K476" s="50">
        <f t="shared" si="27"/>
        <v>0.07542380884922321</v>
      </c>
      <c r="L476" s="59">
        <v>41957</v>
      </c>
      <c r="M476" s="59">
        <v>41991</v>
      </c>
      <c r="N476" s="145">
        <f>465046.92/84708</f>
        <v>5.49</v>
      </c>
      <c r="O476" s="137">
        <f t="shared" si="28"/>
        <v>0.013738398697490566</v>
      </c>
      <c r="P476" s="27"/>
      <c r="Q476" s="27"/>
    </row>
    <row r="477" spans="1:17" ht="45">
      <c r="A477" s="46" t="s">
        <v>74</v>
      </c>
      <c r="B477" s="144" t="s">
        <v>308</v>
      </c>
      <c r="C477" s="47" t="s">
        <v>1047</v>
      </c>
      <c r="D477" s="47" t="s">
        <v>75</v>
      </c>
      <c r="E477" s="13" t="s">
        <v>1012</v>
      </c>
      <c r="F477" s="48" t="s">
        <v>1008</v>
      </c>
      <c r="G477" s="47" t="s">
        <v>76</v>
      </c>
      <c r="H477" s="48">
        <v>5</v>
      </c>
      <c r="I477" s="49">
        <v>209890</v>
      </c>
      <c r="J477" s="49">
        <v>21600</v>
      </c>
      <c r="K477" s="50">
        <f t="shared" si="27"/>
        <v>0.10291104864452809</v>
      </c>
      <c r="L477" s="59">
        <v>41941</v>
      </c>
      <c r="M477" s="59">
        <v>41977</v>
      </c>
      <c r="N477" s="145">
        <f>1462933.3/209890</f>
        <v>6.970000000000001</v>
      </c>
      <c r="O477" s="137">
        <f t="shared" si="28"/>
        <v>0.014764856333504746</v>
      </c>
      <c r="P477" s="27"/>
      <c r="Q477" s="27"/>
    </row>
    <row r="478" spans="1:17" ht="33.75">
      <c r="A478" s="46" t="s">
        <v>496</v>
      </c>
      <c r="B478" s="144" t="s">
        <v>308</v>
      </c>
      <c r="C478" s="47" t="s">
        <v>1047</v>
      </c>
      <c r="D478" s="47" t="s">
        <v>740</v>
      </c>
      <c r="E478" s="13" t="s">
        <v>1012</v>
      </c>
      <c r="F478" s="48" t="s">
        <v>497</v>
      </c>
      <c r="G478" s="47" t="s">
        <v>498</v>
      </c>
      <c r="H478" s="48">
        <v>5</v>
      </c>
      <c r="I478" s="49">
        <v>410626</v>
      </c>
      <c r="J478" s="49">
        <v>41100</v>
      </c>
      <c r="K478" s="50">
        <f t="shared" si="27"/>
        <v>0.10009108044790149</v>
      </c>
      <c r="L478" s="59">
        <v>41920</v>
      </c>
      <c r="M478" s="59" t="s">
        <v>486</v>
      </c>
      <c r="N478" s="145">
        <f>2689600.3/410626</f>
        <v>6.55</v>
      </c>
      <c r="O478" s="137">
        <f t="shared" si="28"/>
        <v>0.015281080984412443</v>
      </c>
      <c r="P478" s="27"/>
      <c r="Q478" s="27"/>
    </row>
    <row r="479" spans="1:17" ht="22.5">
      <c r="A479" s="46" t="s">
        <v>494</v>
      </c>
      <c r="B479" s="144" t="s">
        <v>308</v>
      </c>
      <c r="C479" s="47" t="s">
        <v>1047</v>
      </c>
      <c r="D479" s="47" t="s">
        <v>740</v>
      </c>
      <c r="E479" s="13" t="s">
        <v>1012</v>
      </c>
      <c r="F479" s="48" t="s">
        <v>1008</v>
      </c>
      <c r="G479" s="47" t="s">
        <v>495</v>
      </c>
      <c r="H479" s="48">
        <v>5</v>
      </c>
      <c r="I479" s="49">
        <v>211000</v>
      </c>
      <c r="J479" s="49">
        <v>23432</v>
      </c>
      <c r="K479" s="50">
        <f t="shared" si="27"/>
        <v>0.11105213270142181</v>
      </c>
      <c r="L479" s="59">
        <v>41920</v>
      </c>
      <c r="M479" s="59" t="s">
        <v>486</v>
      </c>
      <c r="N479" s="145">
        <f>1487550/211000</f>
        <v>7.05</v>
      </c>
      <c r="O479" s="137">
        <f t="shared" si="28"/>
        <v>0.015752075560485364</v>
      </c>
      <c r="P479" s="27"/>
      <c r="Q479" s="27"/>
    </row>
    <row r="480" spans="1:17" ht="22.5">
      <c r="A480" s="6" t="s">
        <v>83</v>
      </c>
      <c r="B480" s="13" t="s">
        <v>308</v>
      </c>
      <c r="C480" s="13" t="s">
        <v>1047</v>
      </c>
      <c r="D480" s="13" t="s">
        <v>84</v>
      </c>
      <c r="E480" s="13" t="s">
        <v>1012</v>
      </c>
      <c r="F480" s="3" t="s">
        <v>85</v>
      </c>
      <c r="G480" s="13" t="s">
        <v>86</v>
      </c>
      <c r="H480" s="3">
        <v>5</v>
      </c>
      <c r="I480" s="15">
        <v>1150000</v>
      </c>
      <c r="J480" s="15">
        <v>100321</v>
      </c>
      <c r="K480" s="26">
        <f t="shared" si="27"/>
        <v>0.08723565217391305</v>
      </c>
      <c r="L480" s="136">
        <v>41941</v>
      </c>
      <c r="M480" s="136">
        <v>41977</v>
      </c>
      <c r="N480" s="18">
        <f>6313500/1150000</f>
        <v>5.49</v>
      </c>
      <c r="O480" s="137">
        <f t="shared" si="28"/>
        <v>0.01588991842876376</v>
      </c>
      <c r="P480" s="27"/>
      <c r="Q480" s="27"/>
    </row>
    <row r="481" spans="1:17" ht="33.75">
      <c r="A481" s="6" t="s">
        <v>70</v>
      </c>
      <c r="B481" s="13" t="s">
        <v>308</v>
      </c>
      <c r="C481" s="13" t="s">
        <v>1047</v>
      </c>
      <c r="D481" s="13" t="s">
        <v>72</v>
      </c>
      <c r="E481" s="13" t="s">
        <v>73</v>
      </c>
      <c r="F481" s="3" t="s">
        <v>1107</v>
      </c>
      <c r="G481" s="13" t="s">
        <v>71</v>
      </c>
      <c r="H481" s="3">
        <v>5</v>
      </c>
      <c r="I481" s="15">
        <v>356000</v>
      </c>
      <c r="J481" s="15">
        <v>32000</v>
      </c>
      <c r="K481" s="26">
        <f t="shared" si="27"/>
        <v>0.0898876404494382</v>
      </c>
      <c r="L481" s="136">
        <v>41941</v>
      </c>
      <c r="M481" s="136">
        <v>41977</v>
      </c>
      <c r="N481" s="18">
        <f>1954440/356000</f>
        <v>5.49</v>
      </c>
      <c r="O481" s="137">
        <f t="shared" si="28"/>
        <v>0.01637297640244776</v>
      </c>
      <c r="P481" s="27"/>
      <c r="Q481" s="27"/>
    </row>
    <row r="482" spans="1:17" ht="22.5">
      <c r="A482" s="6" t="s">
        <v>585</v>
      </c>
      <c r="B482" s="63" t="s">
        <v>308</v>
      </c>
      <c r="C482" s="13" t="s">
        <v>1047</v>
      </c>
      <c r="D482" s="13" t="s">
        <v>286</v>
      </c>
      <c r="E482" s="13" t="s">
        <v>1012</v>
      </c>
      <c r="F482" s="3" t="s">
        <v>1006</v>
      </c>
      <c r="G482" s="13" t="s">
        <v>586</v>
      </c>
      <c r="H482" s="3">
        <v>5</v>
      </c>
      <c r="I482" s="15">
        <v>501657</v>
      </c>
      <c r="J482" s="15">
        <v>67119</v>
      </c>
      <c r="K482" s="26">
        <f t="shared" si="27"/>
        <v>0.1337946046800902</v>
      </c>
      <c r="L482" s="136">
        <v>41963</v>
      </c>
      <c r="M482" s="136" t="s">
        <v>587</v>
      </c>
      <c r="N482" s="18">
        <f>3677145.81/501657</f>
        <v>7.33</v>
      </c>
      <c r="O482" s="137">
        <f t="shared" si="28"/>
        <v>0.01825301564530562</v>
      </c>
      <c r="P482" s="27"/>
      <c r="Q482" s="27"/>
    </row>
    <row r="483" spans="1:17" ht="22.5">
      <c r="A483" s="6" t="s">
        <v>901</v>
      </c>
      <c r="B483" s="13" t="s">
        <v>308</v>
      </c>
      <c r="C483" s="13" t="s">
        <v>1047</v>
      </c>
      <c r="D483" s="13" t="s">
        <v>740</v>
      </c>
      <c r="E483" s="13" t="s">
        <v>1012</v>
      </c>
      <c r="F483" s="3" t="s">
        <v>1008</v>
      </c>
      <c r="G483" s="13" t="s">
        <v>902</v>
      </c>
      <c r="H483" s="3">
        <v>5</v>
      </c>
      <c r="I483" s="15">
        <v>263736</v>
      </c>
      <c r="J483" s="15">
        <v>26512</v>
      </c>
      <c r="K483" s="26">
        <f t="shared" si="27"/>
        <v>0.10052476719143386</v>
      </c>
      <c r="L483" s="136">
        <v>41822</v>
      </c>
      <c r="M483" s="136">
        <v>41851</v>
      </c>
      <c r="N483" s="18">
        <f>1447910.64/263736</f>
        <v>5.489999999999999</v>
      </c>
      <c r="O483" s="137">
        <f t="shared" si="28"/>
        <v>0.018310522257091778</v>
      </c>
      <c r="P483" s="27"/>
      <c r="Q483" s="27"/>
    </row>
    <row r="484" spans="1:17" ht="22.5">
      <c r="A484" s="6" t="s">
        <v>903</v>
      </c>
      <c r="B484" s="13" t="s">
        <v>308</v>
      </c>
      <c r="C484" s="13" t="s">
        <v>1047</v>
      </c>
      <c r="D484" s="13" t="s">
        <v>740</v>
      </c>
      <c r="E484" s="13" t="s">
        <v>1012</v>
      </c>
      <c r="F484" s="3" t="s">
        <v>1008</v>
      </c>
      <c r="G484" s="13" t="s">
        <v>904</v>
      </c>
      <c r="H484" s="3">
        <v>5</v>
      </c>
      <c r="I484" s="15">
        <v>150000</v>
      </c>
      <c r="J484" s="15">
        <v>15481</v>
      </c>
      <c r="K484" s="26">
        <f t="shared" si="27"/>
        <v>0.10320666666666667</v>
      </c>
      <c r="L484" s="136">
        <v>41822</v>
      </c>
      <c r="M484" s="136">
        <v>41851</v>
      </c>
      <c r="N484" s="18">
        <f>823500/150000</f>
        <v>5.49</v>
      </c>
      <c r="O484" s="137">
        <f t="shared" si="28"/>
        <v>0.018799028536733455</v>
      </c>
      <c r="P484" s="27"/>
      <c r="Q484" s="27"/>
    </row>
    <row r="485" spans="1:17" ht="22.5">
      <c r="A485" s="6" t="s">
        <v>896</v>
      </c>
      <c r="B485" s="13" t="s">
        <v>308</v>
      </c>
      <c r="C485" s="13" t="s">
        <v>1047</v>
      </c>
      <c r="D485" s="13" t="s">
        <v>740</v>
      </c>
      <c r="E485" s="13" t="s">
        <v>1012</v>
      </c>
      <c r="F485" s="3" t="s">
        <v>1008</v>
      </c>
      <c r="G485" s="13" t="s">
        <v>897</v>
      </c>
      <c r="H485" s="3">
        <v>5</v>
      </c>
      <c r="I485" s="15">
        <v>85000</v>
      </c>
      <c r="J485" s="15">
        <v>8900</v>
      </c>
      <c r="K485" s="26">
        <f aca="true" t="shared" si="29" ref="K485:K507">J485/I485</f>
        <v>0.10470588235294118</v>
      </c>
      <c r="L485" s="136">
        <v>41822</v>
      </c>
      <c r="M485" s="136">
        <v>41851</v>
      </c>
      <c r="N485" s="18">
        <f>466650/85000</f>
        <v>5.49</v>
      </c>
      <c r="O485" s="137">
        <f aca="true" t="shared" si="30" ref="O485:O507">K485/N485</f>
        <v>0.019072109718204222</v>
      </c>
      <c r="P485" s="27"/>
      <c r="Q485" s="27"/>
    </row>
    <row r="486" spans="1:17" ht="22.5">
      <c r="A486" s="6" t="s">
        <v>487</v>
      </c>
      <c r="B486" s="13" t="s">
        <v>308</v>
      </c>
      <c r="C486" s="13" t="s">
        <v>1047</v>
      </c>
      <c r="D486" s="13" t="s">
        <v>740</v>
      </c>
      <c r="E486" s="13" t="s">
        <v>1012</v>
      </c>
      <c r="F486" s="3" t="s">
        <v>1008</v>
      </c>
      <c r="G486" s="13" t="s">
        <v>488</v>
      </c>
      <c r="H486" s="3">
        <v>5</v>
      </c>
      <c r="I486" s="15">
        <v>299307</v>
      </c>
      <c r="J486" s="15">
        <v>31425</v>
      </c>
      <c r="K486" s="26">
        <f t="shared" si="29"/>
        <v>0.10499253275065401</v>
      </c>
      <c r="L486" s="136" t="s">
        <v>489</v>
      </c>
      <c r="M486" s="136">
        <v>41956</v>
      </c>
      <c r="N486" s="18">
        <f>1643195.43/299307</f>
        <v>5.49</v>
      </c>
      <c r="O486" s="137">
        <f t="shared" si="30"/>
        <v>0.019124322905401458</v>
      </c>
      <c r="P486" s="27"/>
      <c r="Q486" s="27"/>
    </row>
    <row r="487" spans="1:17" ht="22.5">
      <c r="A487" s="6" t="s">
        <v>490</v>
      </c>
      <c r="B487" s="13" t="s">
        <v>308</v>
      </c>
      <c r="C487" s="13" t="s">
        <v>1047</v>
      </c>
      <c r="D487" s="13" t="s">
        <v>740</v>
      </c>
      <c r="E487" s="13" t="s">
        <v>1012</v>
      </c>
      <c r="F487" s="3" t="s">
        <v>1008</v>
      </c>
      <c r="G487" s="13" t="s">
        <v>491</v>
      </c>
      <c r="H487" s="3">
        <v>5</v>
      </c>
      <c r="I487" s="15">
        <v>205795</v>
      </c>
      <c r="J487" s="15">
        <v>22017</v>
      </c>
      <c r="K487" s="26">
        <f t="shared" si="29"/>
        <v>0.10698510653805972</v>
      </c>
      <c r="L487" s="136">
        <v>41920</v>
      </c>
      <c r="M487" s="136" t="s">
        <v>486</v>
      </c>
      <c r="N487" s="18">
        <f>1129814.55/205795</f>
        <v>5.49</v>
      </c>
      <c r="O487" s="137">
        <f t="shared" si="30"/>
        <v>0.01948726895046625</v>
      </c>
      <c r="P487" s="27"/>
      <c r="Q487" s="27"/>
    </row>
    <row r="488" spans="1:17" ht="22.5">
      <c r="A488" s="46" t="s">
        <v>898</v>
      </c>
      <c r="B488" s="47" t="s">
        <v>308</v>
      </c>
      <c r="C488" s="47" t="s">
        <v>1047</v>
      </c>
      <c r="D488" s="47" t="s">
        <v>740</v>
      </c>
      <c r="E488" s="47" t="s">
        <v>1012</v>
      </c>
      <c r="F488" s="48" t="s">
        <v>899</v>
      </c>
      <c r="G488" s="47" t="s">
        <v>900</v>
      </c>
      <c r="H488" s="48">
        <v>5</v>
      </c>
      <c r="I488" s="49">
        <v>166000</v>
      </c>
      <c r="J488" s="49">
        <v>18134</v>
      </c>
      <c r="K488" s="50">
        <f t="shared" si="29"/>
        <v>0.10924096385542169</v>
      </c>
      <c r="L488" s="59">
        <v>41822</v>
      </c>
      <c r="M488" s="59">
        <v>41851</v>
      </c>
      <c r="N488" s="145">
        <f>871500/166000</f>
        <v>5.25</v>
      </c>
      <c r="O488" s="148">
        <f t="shared" si="30"/>
        <v>0.020807802639127942</v>
      </c>
      <c r="P488" s="27"/>
      <c r="Q488" s="27"/>
    </row>
    <row r="489" spans="1:17" ht="33.75">
      <c r="A489" s="6" t="s">
        <v>739</v>
      </c>
      <c r="B489" s="13" t="s">
        <v>308</v>
      </c>
      <c r="C489" s="13" t="s">
        <v>1047</v>
      </c>
      <c r="D489" s="13" t="s">
        <v>740</v>
      </c>
      <c r="E489" s="13" t="s">
        <v>1012</v>
      </c>
      <c r="F489" s="3" t="s">
        <v>741</v>
      </c>
      <c r="G489" s="13" t="s">
        <v>742</v>
      </c>
      <c r="H489" s="3">
        <v>5</v>
      </c>
      <c r="I489" s="15">
        <v>202793</v>
      </c>
      <c r="J489" s="15">
        <v>23988</v>
      </c>
      <c r="K489" s="26">
        <f t="shared" si="29"/>
        <v>0.11828810659145039</v>
      </c>
      <c r="L489" s="136">
        <v>41752</v>
      </c>
      <c r="M489" s="136" t="s">
        <v>738</v>
      </c>
      <c r="N489" s="18">
        <f>1113333.57/202793</f>
        <v>5.49</v>
      </c>
      <c r="O489" s="137">
        <f t="shared" si="30"/>
        <v>0.021546103204271472</v>
      </c>
      <c r="P489" s="27"/>
      <c r="Q489" s="27"/>
    </row>
    <row r="490" spans="1:17" ht="22.5">
      <c r="A490" s="6" t="s">
        <v>540</v>
      </c>
      <c r="B490" s="13" t="s">
        <v>308</v>
      </c>
      <c r="C490" s="13" t="s">
        <v>1047</v>
      </c>
      <c r="D490" s="13" t="s">
        <v>740</v>
      </c>
      <c r="E490" s="13" t="s">
        <v>1012</v>
      </c>
      <c r="F490" s="3" t="s">
        <v>1008</v>
      </c>
      <c r="G490" s="13" t="s">
        <v>541</v>
      </c>
      <c r="H490" s="3">
        <v>5</v>
      </c>
      <c r="I490" s="15">
        <v>90000</v>
      </c>
      <c r="J490" s="15">
        <v>13593</v>
      </c>
      <c r="K490" s="26">
        <f t="shared" si="29"/>
        <v>0.15103333333333332</v>
      </c>
      <c r="L490" s="136">
        <v>41957</v>
      </c>
      <c r="M490" s="136">
        <v>41991</v>
      </c>
      <c r="N490" s="18">
        <f>613800/90000</f>
        <v>6.82</v>
      </c>
      <c r="O490" s="137">
        <f t="shared" si="30"/>
        <v>0.022145650048875854</v>
      </c>
      <c r="P490" s="27"/>
      <c r="Q490" s="27"/>
    </row>
    <row r="491" spans="1:17" ht="22.5">
      <c r="A491" s="6" t="s">
        <v>542</v>
      </c>
      <c r="B491" s="13" t="s">
        <v>308</v>
      </c>
      <c r="C491" s="13" t="s">
        <v>1047</v>
      </c>
      <c r="D491" s="13" t="s">
        <v>740</v>
      </c>
      <c r="E491" s="13" t="s">
        <v>1012</v>
      </c>
      <c r="F491" s="3" t="s">
        <v>1008</v>
      </c>
      <c r="G491" s="13" t="s">
        <v>543</v>
      </c>
      <c r="H491" s="3">
        <v>5</v>
      </c>
      <c r="I491" s="15">
        <v>20080</v>
      </c>
      <c r="J491" s="15">
        <v>2518</v>
      </c>
      <c r="K491" s="26">
        <f t="shared" si="29"/>
        <v>0.125398406374502</v>
      </c>
      <c r="L491" s="136">
        <v>41957</v>
      </c>
      <c r="M491" s="136">
        <v>41991</v>
      </c>
      <c r="N491" s="18">
        <f>110239.2/20080</f>
        <v>5.49</v>
      </c>
      <c r="O491" s="137">
        <f t="shared" si="30"/>
        <v>0.02284123977677632</v>
      </c>
      <c r="P491" s="27"/>
      <c r="Q491" s="27"/>
    </row>
    <row r="492" spans="1:17" ht="22.5">
      <c r="A492" s="46" t="s">
        <v>80</v>
      </c>
      <c r="B492" s="13" t="s">
        <v>308</v>
      </c>
      <c r="C492" s="13" t="s">
        <v>1047</v>
      </c>
      <c r="D492" s="47" t="s">
        <v>81</v>
      </c>
      <c r="E492" s="13" t="s">
        <v>1012</v>
      </c>
      <c r="F492" s="48" t="s">
        <v>1008</v>
      </c>
      <c r="G492" s="47" t="s">
        <v>82</v>
      </c>
      <c r="H492" s="48">
        <v>5</v>
      </c>
      <c r="I492" s="49">
        <v>70124</v>
      </c>
      <c r="J492" s="49">
        <v>8794</v>
      </c>
      <c r="K492" s="50">
        <f t="shared" si="29"/>
        <v>0.12540642290799156</v>
      </c>
      <c r="L492" s="59">
        <v>41941</v>
      </c>
      <c r="M492" s="59">
        <v>41977</v>
      </c>
      <c r="N492" s="145">
        <f>384980.76/70124</f>
        <v>5.49</v>
      </c>
      <c r="O492" s="148">
        <f t="shared" si="30"/>
        <v>0.02284269998324072</v>
      </c>
      <c r="P492" s="27"/>
      <c r="Q492" s="27"/>
    </row>
    <row r="493" spans="1:17" ht="22.5">
      <c r="A493" s="46" t="s">
        <v>905</v>
      </c>
      <c r="B493" s="13" t="s">
        <v>308</v>
      </c>
      <c r="C493" s="13" t="s">
        <v>1047</v>
      </c>
      <c r="D493" s="47" t="s">
        <v>740</v>
      </c>
      <c r="E493" s="13" t="s">
        <v>1012</v>
      </c>
      <c r="F493" s="48" t="s">
        <v>906</v>
      </c>
      <c r="G493" s="47" t="s">
        <v>907</v>
      </c>
      <c r="H493" s="48">
        <v>5</v>
      </c>
      <c r="I493" s="49">
        <v>140125</v>
      </c>
      <c r="J493" s="49">
        <v>17951</v>
      </c>
      <c r="K493" s="50">
        <f t="shared" si="29"/>
        <v>0.128107047279215</v>
      </c>
      <c r="L493" s="59">
        <v>41822</v>
      </c>
      <c r="M493" s="59">
        <v>41851</v>
      </c>
      <c r="N493" s="145">
        <f>769286.25/140125</f>
        <v>5.49</v>
      </c>
      <c r="O493" s="137">
        <f t="shared" si="30"/>
        <v>0.02333461699074954</v>
      </c>
      <c r="P493" s="27"/>
      <c r="Q493" s="27"/>
    </row>
    <row r="494" spans="1:17" ht="22.5">
      <c r="A494" s="46" t="s">
        <v>77</v>
      </c>
      <c r="B494" s="144" t="s">
        <v>308</v>
      </c>
      <c r="C494" s="47" t="s">
        <v>1047</v>
      </c>
      <c r="D494" s="47" t="s">
        <v>78</v>
      </c>
      <c r="E494" s="13" t="s">
        <v>1012</v>
      </c>
      <c r="F494" s="48" t="s">
        <v>1008</v>
      </c>
      <c r="G494" s="47" t="s">
        <v>79</v>
      </c>
      <c r="H494" s="48">
        <v>5</v>
      </c>
      <c r="I494" s="49">
        <v>52107</v>
      </c>
      <c r="J494" s="49">
        <v>6870</v>
      </c>
      <c r="K494" s="50">
        <f t="shared" si="29"/>
        <v>0.13184409004548334</v>
      </c>
      <c r="L494" s="59">
        <v>41941</v>
      </c>
      <c r="M494" s="59">
        <v>41977</v>
      </c>
      <c r="N494" s="145">
        <f>286067.43/52107</f>
        <v>5.49</v>
      </c>
      <c r="O494" s="137">
        <f t="shared" si="30"/>
        <v>0.02401531694817547</v>
      </c>
      <c r="P494" s="27"/>
      <c r="Q494" s="27"/>
    </row>
    <row r="495" spans="1:17" ht="33.75">
      <c r="A495" s="46" t="s">
        <v>492</v>
      </c>
      <c r="B495" s="13" t="s">
        <v>308</v>
      </c>
      <c r="C495" s="13" t="s">
        <v>1047</v>
      </c>
      <c r="D495" s="47" t="s">
        <v>740</v>
      </c>
      <c r="E495" s="13" t="s">
        <v>1012</v>
      </c>
      <c r="F495" s="48" t="s">
        <v>741</v>
      </c>
      <c r="G495" s="47" t="s">
        <v>493</v>
      </c>
      <c r="H495" s="48">
        <v>5</v>
      </c>
      <c r="I495" s="49">
        <v>224194</v>
      </c>
      <c r="J495" s="49">
        <v>29722</v>
      </c>
      <c r="K495" s="50">
        <f t="shared" si="29"/>
        <v>0.13257268258740199</v>
      </c>
      <c r="L495" s="59">
        <v>41920</v>
      </c>
      <c r="M495" s="59" t="s">
        <v>486</v>
      </c>
      <c r="N495" s="145">
        <f>1230825.06/224194</f>
        <v>5.49</v>
      </c>
      <c r="O495" s="137">
        <f t="shared" si="30"/>
        <v>0.024148029615191618</v>
      </c>
      <c r="P495" s="27"/>
      <c r="Q495" s="27"/>
    </row>
    <row r="496" spans="1:17" ht="33.75">
      <c r="A496" s="46" t="s">
        <v>743</v>
      </c>
      <c r="B496" s="13" t="s">
        <v>308</v>
      </c>
      <c r="C496" s="13" t="s">
        <v>1047</v>
      </c>
      <c r="D496" s="47" t="s">
        <v>740</v>
      </c>
      <c r="E496" s="13" t="s">
        <v>1012</v>
      </c>
      <c r="F496" s="48" t="s">
        <v>744</v>
      </c>
      <c r="G496" s="47" t="s">
        <v>745</v>
      </c>
      <c r="H496" s="48">
        <v>5</v>
      </c>
      <c r="I496" s="49">
        <v>50000</v>
      </c>
      <c r="J496" s="49">
        <v>6776</v>
      </c>
      <c r="K496" s="50">
        <f t="shared" si="29"/>
        <v>0.13552</v>
      </c>
      <c r="L496" s="59">
        <v>41752</v>
      </c>
      <c r="M496" s="59" t="s">
        <v>738</v>
      </c>
      <c r="N496" s="145">
        <f>262500/50000</f>
        <v>5.25</v>
      </c>
      <c r="O496" s="137">
        <f t="shared" si="30"/>
        <v>0.025813333333333334</v>
      </c>
      <c r="P496" s="27"/>
      <c r="Q496" s="27"/>
    </row>
    <row r="497" spans="1:17" ht="22.5">
      <c r="A497" s="46" t="s">
        <v>890</v>
      </c>
      <c r="B497" s="144" t="s">
        <v>308</v>
      </c>
      <c r="C497" s="47" t="s">
        <v>1047</v>
      </c>
      <c r="D497" s="47" t="s">
        <v>891</v>
      </c>
      <c r="E497" s="13" t="s">
        <v>1012</v>
      </c>
      <c r="F497" s="48" t="s">
        <v>1008</v>
      </c>
      <c r="G497" s="47" t="s">
        <v>892</v>
      </c>
      <c r="H497" s="48">
        <v>5</v>
      </c>
      <c r="I497" s="49">
        <v>100000</v>
      </c>
      <c r="J497" s="49">
        <v>21011</v>
      </c>
      <c r="K497" s="50">
        <f t="shared" si="29"/>
        <v>0.21011</v>
      </c>
      <c r="L497" s="59">
        <v>41725</v>
      </c>
      <c r="M497" s="59">
        <v>41758</v>
      </c>
      <c r="N497" s="145">
        <f>709000/100000</f>
        <v>7.09</v>
      </c>
      <c r="O497" s="137">
        <f t="shared" si="30"/>
        <v>0.029634696755994356</v>
      </c>
      <c r="P497" s="27"/>
      <c r="Q497" s="27"/>
    </row>
    <row r="498" spans="1:17" ht="33.75">
      <c r="A498" s="46" t="s">
        <v>746</v>
      </c>
      <c r="B498" s="144" t="s">
        <v>308</v>
      </c>
      <c r="C498" s="47" t="s">
        <v>1047</v>
      </c>
      <c r="D498" s="47" t="s">
        <v>740</v>
      </c>
      <c r="E498" s="13" t="s">
        <v>1012</v>
      </c>
      <c r="F498" s="48" t="s">
        <v>747</v>
      </c>
      <c r="G498" s="47" t="s">
        <v>748</v>
      </c>
      <c r="H498" s="48">
        <v>5</v>
      </c>
      <c r="I498" s="49">
        <v>125749</v>
      </c>
      <c r="J498" s="49">
        <v>16595</v>
      </c>
      <c r="K498" s="50">
        <f t="shared" si="29"/>
        <v>0.1319692403120502</v>
      </c>
      <c r="L498" s="59">
        <v>41752</v>
      </c>
      <c r="M498" s="59" t="s">
        <v>738</v>
      </c>
      <c r="N498" s="145">
        <f>539463.21/125749</f>
        <v>4.29</v>
      </c>
      <c r="O498" s="137">
        <f t="shared" si="30"/>
        <v>0.030762060678799583</v>
      </c>
      <c r="P498" s="27"/>
      <c r="Q498" s="27"/>
    </row>
    <row r="499" spans="1:15" ht="22.5">
      <c r="A499" s="46" t="s">
        <v>997</v>
      </c>
      <c r="B499" s="144" t="s">
        <v>308</v>
      </c>
      <c r="C499" s="47" t="s">
        <v>1047</v>
      </c>
      <c r="D499" s="47" t="s">
        <v>991</v>
      </c>
      <c r="E499" s="13" t="s">
        <v>1012</v>
      </c>
      <c r="F499" s="48" t="s">
        <v>1006</v>
      </c>
      <c r="G499" s="47" t="s">
        <v>998</v>
      </c>
      <c r="H499" s="48">
        <v>5</v>
      </c>
      <c r="I499" s="49">
        <v>102505</v>
      </c>
      <c r="J499" s="49">
        <v>16207</v>
      </c>
      <c r="K499" s="50">
        <f t="shared" si="29"/>
        <v>0.15810936051899907</v>
      </c>
      <c r="L499" s="59">
        <v>41850</v>
      </c>
      <c r="M499" s="59" t="s">
        <v>985</v>
      </c>
      <c r="N499" s="145">
        <f>447946.85/102505</f>
        <v>4.37</v>
      </c>
      <c r="O499" s="137">
        <f t="shared" si="30"/>
        <v>0.036180631697711456</v>
      </c>
    </row>
    <row r="500" spans="1:17" ht="22.5">
      <c r="A500" s="46" t="s">
        <v>990</v>
      </c>
      <c r="B500" s="144" t="s">
        <v>308</v>
      </c>
      <c r="C500" s="47" t="s">
        <v>1047</v>
      </c>
      <c r="D500" s="47" t="s">
        <v>991</v>
      </c>
      <c r="E500" s="13" t="s">
        <v>1012</v>
      </c>
      <c r="F500" s="48" t="s">
        <v>1006</v>
      </c>
      <c r="G500" s="47" t="s">
        <v>992</v>
      </c>
      <c r="H500" s="48">
        <v>5</v>
      </c>
      <c r="I500" s="49">
        <v>41920</v>
      </c>
      <c r="J500" s="49">
        <v>6628</v>
      </c>
      <c r="K500" s="50">
        <f t="shared" si="29"/>
        <v>0.15811068702290076</v>
      </c>
      <c r="L500" s="59">
        <v>41850</v>
      </c>
      <c r="M500" s="59" t="s">
        <v>985</v>
      </c>
      <c r="N500" s="145">
        <f>183190.4/41920</f>
        <v>4.37</v>
      </c>
      <c r="O500" s="137">
        <f t="shared" si="30"/>
        <v>0.03618093524551505</v>
      </c>
      <c r="P500" s="27"/>
      <c r="Q500" s="27"/>
    </row>
    <row r="501" spans="1:17" ht="22.5">
      <c r="A501" s="46" t="s">
        <v>993</v>
      </c>
      <c r="B501" s="13" t="s">
        <v>308</v>
      </c>
      <c r="C501" s="13" t="s">
        <v>1047</v>
      </c>
      <c r="D501" s="47" t="s">
        <v>991</v>
      </c>
      <c r="E501" s="13" t="s">
        <v>1012</v>
      </c>
      <c r="F501" s="48" t="s">
        <v>1006</v>
      </c>
      <c r="G501" s="47" t="s">
        <v>994</v>
      </c>
      <c r="H501" s="48">
        <v>5</v>
      </c>
      <c r="I501" s="49">
        <v>109296</v>
      </c>
      <c r="J501" s="49">
        <v>17281</v>
      </c>
      <c r="K501" s="50">
        <f t="shared" si="29"/>
        <v>0.15811191626409019</v>
      </c>
      <c r="L501" s="59">
        <v>41850</v>
      </c>
      <c r="M501" s="59" t="s">
        <v>985</v>
      </c>
      <c r="N501" s="145">
        <f>477623.52/109296</f>
        <v>4.37</v>
      </c>
      <c r="O501" s="137">
        <f t="shared" si="30"/>
        <v>0.036181216536405075</v>
      </c>
      <c r="P501" s="27"/>
      <c r="Q501" s="27"/>
    </row>
    <row r="502" spans="1:15" ht="22.5">
      <c r="A502" s="46" t="s">
        <v>995</v>
      </c>
      <c r="B502" s="13" t="s">
        <v>308</v>
      </c>
      <c r="C502" s="13" t="s">
        <v>1047</v>
      </c>
      <c r="D502" s="47" t="s">
        <v>991</v>
      </c>
      <c r="E502" s="13" t="s">
        <v>1012</v>
      </c>
      <c r="F502" s="48" t="s">
        <v>1006</v>
      </c>
      <c r="G502" s="47" t="s">
        <v>996</v>
      </c>
      <c r="H502" s="48">
        <v>5</v>
      </c>
      <c r="I502" s="49">
        <v>60772</v>
      </c>
      <c r="J502" s="49">
        <v>9609</v>
      </c>
      <c r="K502" s="50">
        <f t="shared" si="29"/>
        <v>0.15811557954321068</v>
      </c>
      <c r="L502" s="59">
        <v>41850</v>
      </c>
      <c r="M502" s="59" t="s">
        <v>985</v>
      </c>
      <c r="N502" s="145">
        <f>265573.64/60772</f>
        <v>4.37</v>
      </c>
      <c r="O502" s="137">
        <f t="shared" si="30"/>
        <v>0.03618205481538002</v>
      </c>
    </row>
    <row r="503" spans="1:17" ht="33.75">
      <c r="A503" s="46" t="s">
        <v>850</v>
      </c>
      <c r="B503" s="13" t="s">
        <v>308</v>
      </c>
      <c r="C503" s="13" t="s">
        <v>1047</v>
      </c>
      <c r="D503" s="47" t="s">
        <v>851</v>
      </c>
      <c r="E503" s="13" t="s">
        <v>1012</v>
      </c>
      <c r="F503" s="48" t="s">
        <v>852</v>
      </c>
      <c r="G503" s="47" t="s">
        <v>853</v>
      </c>
      <c r="H503" s="48">
        <v>5</v>
      </c>
      <c r="I503" s="49">
        <v>69000</v>
      </c>
      <c r="J503" s="49">
        <v>19000</v>
      </c>
      <c r="K503" s="50">
        <f t="shared" si="29"/>
        <v>0.2753623188405797</v>
      </c>
      <c r="L503" s="59">
        <v>41696</v>
      </c>
      <c r="M503" s="59" t="s">
        <v>844</v>
      </c>
      <c r="N503" s="145">
        <f>487140/69000</f>
        <v>7.06</v>
      </c>
      <c r="O503" s="137">
        <f t="shared" si="30"/>
        <v>0.039003161308863984</v>
      </c>
      <c r="P503" s="27"/>
      <c r="Q503" s="27"/>
    </row>
    <row r="504" spans="1:17" ht="33.75">
      <c r="A504" s="46" t="s">
        <v>854</v>
      </c>
      <c r="B504" s="144" t="s">
        <v>308</v>
      </c>
      <c r="C504" s="47" t="s">
        <v>1047</v>
      </c>
      <c r="D504" s="47" t="s">
        <v>851</v>
      </c>
      <c r="E504" s="13" t="s">
        <v>1012</v>
      </c>
      <c r="F504" s="48" t="s">
        <v>852</v>
      </c>
      <c r="G504" s="47" t="s">
        <v>855</v>
      </c>
      <c r="H504" s="48">
        <v>5</v>
      </c>
      <c r="I504" s="49">
        <v>83400</v>
      </c>
      <c r="J504" s="49">
        <v>23000</v>
      </c>
      <c r="K504" s="50">
        <f t="shared" si="29"/>
        <v>0.27577937649880097</v>
      </c>
      <c r="L504" s="59">
        <v>41696</v>
      </c>
      <c r="M504" s="59" t="s">
        <v>844</v>
      </c>
      <c r="N504" s="145">
        <f>588804/83400</f>
        <v>7.06</v>
      </c>
      <c r="O504" s="137">
        <f t="shared" si="30"/>
        <v>0.03906223463155821</v>
      </c>
      <c r="P504" s="27"/>
      <c r="Q504" s="27"/>
    </row>
    <row r="505" spans="1:17" ht="33.75">
      <c r="A505" s="46" t="s">
        <v>856</v>
      </c>
      <c r="B505" s="144" t="s">
        <v>308</v>
      </c>
      <c r="C505" s="47" t="s">
        <v>1047</v>
      </c>
      <c r="D505" s="47" t="s">
        <v>851</v>
      </c>
      <c r="E505" s="13" t="s">
        <v>1012</v>
      </c>
      <c r="F505" s="48" t="s">
        <v>852</v>
      </c>
      <c r="G505" s="47" t="s">
        <v>857</v>
      </c>
      <c r="H505" s="48">
        <v>5</v>
      </c>
      <c r="I505" s="49">
        <v>83400</v>
      </c>
      <c r="J505" s="49">
        <v>23000</v>
      </c>
      <c r="K505" s="50">
        <f t="shared" si="29"/>
        <v>0.27577937649880097</v>
      </c>
      <c r="L505" s="59">
        <v>41696</v>
      </c>
      <c r="M505" s="59" t="s">
        <v>844</v>
      </c>
      <c r="N505" s="145">
        <f>588804/83400</f>
        <v>7.06</v>
      </c>
      <c r="O505" s="137">
        <f t="shared" si="30"/>
        <v>0.03906223463155821</v>
      </c>
      <c r="P505" s="27"/>
      <c r="Q505" s="27"/>
    </row>
    <row r="506" spans="1:17" ht="33.75">
      <c r="A506" s="46" t="s">
        <v>908</v>
      </c>
      <c r="B506" s="144" t="s">
        <v>308</v>
      </c>
      <c r="C506" s="47" t="s">
        <v>1047</v>
      </c>
      <c r="D506" s="47" t="s">
        <v>909</v>
      </c>
      <c r="E506" s="13" t="s">
        <v>1012</v>
      </c>
      <c r="F506" s="48" t="s">
        <v>1008</v>
      </c>
      <c r="G506" s="47" t="s">
        <v>910</v>
      </c>
      <c r="H506" s="48">
        <v>5</v>
      </c>
      <c r="I506" s="49">
        <v>29009</v>
      </c>
      <c r="J506" s="49">
        <v>7160</v>
      </c>
      <c r="K506" s="50">
        <f t="shared" si="29"/>
        <v>0.24681995242855664</v>
      </c>
      <c r="L506" s="59">
        <v>41822</v>
      </c>
      <c r="M506" s="59">
        <v>41851</v>
      </c>
      <c r="N506" s="145">
        <f>159259.41/29009</f>
        <v>5.49</v>
      </c>
      <c r="O506" s="137">
        <f t="shared" si="30"/>
        <v>0.04495809698152216</v>
      </c>
      <c r="P506" s="27"/>
      <c r="Q506" s="27"/>
    </row>
    <row r="507" spans="1:15" ht="22.5">
      <c r="A507" s="46" t="s">
        <v>285</v>
      </c>
      <c r="B507" s="144" t="s">
        <v>308</v>
      </c>
      <c r="C507" s="47" t="s">
        <v>1047</v>
      </c>
      <c r="D507" s="47" t="s">
        <v>286</v>
      </c>
      <c r="E507" s="13" t="s">
        <v>1012</v>
      </c>
      <c r="F507" s="48" t="s">
        <v>1008</v>
      </c>
      <c r="G507" s="47" t="s">
        <v>287</v>
      </c>
      <c r="H507" s="51">
        <v>5</v>
      </c>
      <c r="I507" s="49">
        <v>183000</v>
      </c>
      <c r="J507" s="49">
        <v>54391</v>
      </c>
      <c r="K507" s="50">
        <f t="shared" si="29"/>
        <v>0.2972185792349727</v>
      </c>
      <c r="L507" s="59">
        <v>41682</v>
      </c>
      <c r="M507" s="59">
        <v>41716</v>
      </c>
      <c r="N507" s="145">
        <f>1041270/183000</f>
        <v>5.69</v>
      </c>
      <c r="O507" s="137">
        <f t="shared" si="30"/>
        <v>0.05223525118365073</v>
      </c>
    </row>
    <row r="508" spans="1:17" ht="22.5">
      <c r="A508" s="46" t="s">
        <v>533</v>
      </c>
      <c r="B508" s="144" t="s">
        <v>308</v>
      </c>
      <c r="C508" s="47" t="s">
        <v>246</v>
      </c>
      <c r="D508" s="47" t="s">
        <v>534</v>
      </c>
      <c r="E508" s="13" t="s">
        <v>1012</v>
      </c>
      <c r="F508" s="48" t="s">
        <v>1107</v>
      </c>
      <c r="G508" s="47" t="s">
        <v>535</v>
      </c>
      <c r="H508" s="48">
        <v>10</v>
      </c>
      <c r="I508" s="49">
        <v>900000</v>
      </c>
      <c r="J508" s="49">
        <v>33840</v>
      </c>
      <c r="K508" s="50">
        <f aca="true" t="shared" si="31" ref="K508:K527">J508/I508</f>
        <v>0.0376</v>
      </c>
      <c r="L508" s="59">
        <v>41956</v>
      </c>
      <c r="M508" s="59">
        <v>41998</v>
      </c>
      <c r="N508" s="145">
        <f>4896000/900000</f>
        <v>5.44</v>
      </c>
      <c r="O508" s="137">
        <f aca="true" t="shared" si="32" ref="O508:O527">K508/N508</f>
        <v>0.0069117647058823525</v>
      </c>
      <c r="P508" s="27"/>
      <c r="Q508" s="27"/>
    </row>
    <row r="509" spans="1:17" ht="22.5">
      <c r="A509" s="46" t="s">
        <v>536</v>
      </c>
      <c r="B509" s="144" t="s">
        <v>308</v>
      </c>
      <c r="C509" s="47" t="s">
        <v>246</v>
      </c>
      <c r="D509" s="47" t="s">
        <v>534</v>
      </c>
      <c r="E509" s="13" t="s">
        <v>1012</v>
      </c>
      <c r="F509" s="48" t="s">
        <v>1107</v>
      </c>
      <c r="G509" s="47" t="s">
        <v>537</v>
      </c>
      <c r="H509" s="48">
        <v>10</v>
      </c>
      <c r="I509" s="49">
        <v>1031000</v>
      </c>
      <c r="J509" s="49">
        <v>39384.2</v>
      </c>
      <c r="K509" s="50">
        <f t="shared" si="31"/>
        <v>0.0382</v>
      </c>
      <c r="L509" s="59">
        <v>41956</v>
      </c>
      <c r="M509" s="59">
        <v>41998</v>
      </c>
      <c r="N509" s="145">
        <f>5608640/1031000</f>
        <v>5.44</v>
      </c>
      <c r="O509" s="137">
        <f t="shared" si="32"/>
        <v>0.007022058823529411</v>
      </c>
      <c r="P509" s="27"/>
      <c r="Q509" s="27"/>
    </row>
    <row r="510" spans="1:15" ht="22.5">
      <c r="A510" s="46" t="s">
        <v>189</v>
      </c>
      <c r="B510" s="144" t="s">
        <v>308</v>
      </c>
      <c r="C510" s="47" t="s">
        <v>1047</v>
      </c>
      <c r="D510" s="47" t="s">
        <v>179</v>
      </c>
      <c r="E510" s="13" t="s">
        <v>1012</v>
      </c>
      <c r="F510" s="48" t="s">
        <v>1012</v>
      </c>
      <c r="G510" s="47" t="s">
        <v>190</v>
      </c>
      <c r="H510" s="48">
        <v>10</v>
      </c>
      <c r="I510" s="49">
        <v>16000</v>
      </c>
      <c r="J510" s="49">
        <v>510</v>
      </c>
      <c r="K510" s="50">
        <f t="shared" si="31"/>
        <v>0.031875</v>
      </c>
      <c r="L510" s="59">
        <v>41799</v>
      </c>
      <c r="M510" s="59">
        <v>41820</v>
      </c>
      <c r="N510" s="145">
        <f>76480/16000</f>
        <v>4.78</v>
      </c>
      <c r="O510" s="137">
        <f t="shared" si="32"/>
        <v>0.006668410041841004</v>
      </c>
    </row>
    <row r="511" spans="1:15" ht="22.5">
      <c r="A511" s="46" t="s">
        <v>181</v>
      </c>
      <c r="B511" s="144" t="s">
        <v>308</v>
      </c>
      <c r="C511" s="47" t="s">
        <v>1047</v>
      </c>
      <c r="D511" s="47" t="s">
        <v>179</v>
      </c>
      <c r="E511" s="13" t="s">
        <v>1012</v>
      </c>
      <c r="F511" s="48" t="s">
        <v>1012</v>
      </c>
      <c r="G511" s="47" t="s">
        <v>182</v>
      </c>
      <c r="H511" s="48">
        <v>10</v>
      </c>
      <c r="I511" s="49">
        <v>32000</v>
      </c>
      <c r="J511" s="49">
        <v>1020</v>
      </c>
      <c r="K511" s="50">
        <f t="shared" si="31"/>
        <v>0.031875</v>
      </c>
      <c r="L511" s="59">
        <v>41799</v>
      </c>
      <c r="M511" s="59" t="s">
        <v>183</v>
      </c>
      <c r="N511" s="145">
        <f>140480/32000</f>
        <v>4.39</v>
      </c>
      <c r="O511" s="137">
        <f t="shared" si="32"/>
        <v>0.007260820045558087</v>
      </c>
    </row>
    <row r="512" spans="1:15" ht="22.5">
      <c r="A512" s="46" t="s">
        <v>178</v>
      </c>
      <c r="B512" s="144" t="s">
        <v>308</v>
      </c>
      <c r="C512" s="47" t="s">
        <v>1047</v>
      </c>
      <c r="D512" s="47" t="s">
        <v>179</v>
      </c>
      <c r="E512" s="13" t="s">
        <v>1012</v>
      </c>
      <c r="F512" s="48" t="s">
        <v>1012</v>
      </c>
      <c r="G512" s="47" t="s">
        <v>180</v>
      </c>
      <c r="H512" s="48">
        <v>10</v>
      </c>
      <c r="I512" s="49">
        <v>19000</v>
      </c>
      <c r="J512" s="49">
        <v>604</v>
      </c>
      <c r="K512" s="50">
        <f t="shared" si="31"/>
        <v>0.03178947368421053</v>
      </c>
      <c r="L512" s="59">
        <v>41799</v>
      </c>
      <c r="M512" s="59">
        <v>41820</v>
      </c>
      <c r="N512" s="145">
        <f>80180/19000</f>
        <v>4.22</v>
      </c>
      <c r="O512" s="137">
        <f t="shared" si="32"/>
        <v>0.0075330506360688455</v>
      </c>
    </row>
    <row r="513" spans="1:15" ht="22.5">
      <c r="A513" s="46" t="s">
        <v>184</v>
      </c>
      <c r="B513" s="144" t="s">
        <v>308</v>
      </c>
      <c r="C513" s="47" t="s">
        <v>1047</v>
      </c>
      <c r="D513" s="47" t="s">
        <v>179</v>
      </c>
      <c r="E513" s="13" t="s">
        <v>1012</v>
      </c>
      <c r="F513" s="48" t="s">
        <v>1012</v>
      </c>
      <c r="G513" s="47" t="s">
        <v>185</v>
      </c>
      <c r="H513" s="48">
        <v>10</v>
      </c>
      <c r="I513" s="49">
        <v>32000</v>
      </c>
      <c r="J513" s="49">
        <v>1020</v>
      </c>
      <c r="K513" s="50">
        <f t="shared" si="31"/>
        <v>0.031875</v>
      </c>
      <c r="L513" s="59" t="s">
        <v>186</v>
      </c>
      <c r="M513" s="59" t="s">
        <v>183</v>
      </c>
      <c r="N513" s="145">
        <f>133760/32000</f>
        <v>4.18</v>
      </c>
      <c r="O513" s="137">
        <f t="shared" si="32"/>
        <v>0.007625598086124403</v>
      </c>
    </row>
    <row r="514" spans="1:15" ht="22.5">
      <c r="A514" s="46" t="s">
        <v>191</v>
      </c>
      <c r="B514" s="144" t="s">
        <v>308</v>
      </c>
      <c r="C514" s="47" t="s">
        <v>1047</v>
      </c>
      <c r="D514" s="47" t="s">
        <v>179</v>
      </c>
      <c r="E514" s="13" t="s">
        <v>1012</v>
      </c>
      <c r="F514" s="48" t="s">
        <v>1006</v>
      </c>
      <c r="G514" s="47" t="s">
        <v>192</v>
      </c>
      <c r="H514" s="48">
        <v>10</v>
      </c>
      <c r="I514" s="49">
        <v>135000</v>
      </c>
      <c r="J514" s="49">
        <v>4300</v>
      </c>
      <c r="K514" s="50">
        <f t="shared" si="31"/>
        <v>0.03185185185185185</v>
      </c>
      <c r="L514" s="59" t="s">
        <v>1162</v>
      </c>
      <c r="M514" s="59" t="s">
        <v>183</v>
      </c>
      <c r="N514" s="145">
        <f>554850/135000</f>
        <v>4.11</v>
      </c>
      <c r="O514" s="137">
        <f t="shared" si="32"/>
        <v>0.007749842299720645</v>
      </c>
    </row>
    <row r="515" spans="1:15" ht="22.5">
      <c r="A515" s="46" t="s">
        <v>187</v>
      </c>
      <c r="B515" s="144" t="s">
        <v>308</v>
      </c>
      <c r="C515" s="47" t="s">
        <v>1047</v>
      </c>
      <c r="D515" s="47" t="s">
        <v>179</v>
      </c>
      <c r="E515" s="13" t="s">
        <v>1012</v>
      </c>
      <c r="F515" s="48" t="s">
        <v>1012</v>
      </c>
      <c r="G515" s="47" t="s">
        <v>188</v>
      </c>
      <c r="H515" s="48">
        <v>10</v>
      </c>
      <c r="I515" s="49">
        <v>64000</v>
      </c>
      <c r="J515" s="49">
        <v>2040</v>
      </c>
      <c r="K515" s="50">
        <f t="shared" si="31"/>
        <v>0.031875</v>
      </c>
      <c r="L515" s="59" t="s">
        <v>1162</v>
      </c>
      <c r="M515" s="59" t="s">
        <v>183</v>
      </c>
      <c r="N515" s="145">
        <f>245120/64000</f>
        <v>3.83</v>
      </c>
      <c r="O515" s="137">
        <f t="shared" si="32"/>
        <v>0.008322454308093995</v>
      </c>
    </row>
    <row r="516" spans="1:17" ht="22.5">
      <c r="A516" s="46" t="s">
        <v>835</v>
      </c>
      <c r="B516" s="13" t="s">
        <v>308</v>
      </c>
      <c r="C516" s="47" t="s">
        <v>1047</v>
      </c>
      <c r="D516" s="47" t="s">
        <v>836</v>
      </c>
      <c r="E516" s="13" t="s">
        <v>1012</v>
      </c>
      <c r="F516" s="48" t="s">
        <v>1107</v>
      </c>
      <c r="G516" s="47" t="s">
        <v>837</v>
      </c>
      <c r="H516" s="48">
        <v>10</v>
      </c>
      <c r="I516" s="49">
        <v>1261285</v>
      </c>
      <c r="J516" s="49">
        <v>52000</v>
      </c>
      <c r="K516" s="50">
        <f t="shared" si="31"/>
        <v>0.04122779546256397</v>
      </c>
      <c r="L516" s="59">
        <v>41815</v>
      </c>
      <c r="M516" s="59" t="s">
        <v>164</v>
      </c>
      <c r="N516" s="145">
        <f>4755044.45/1261285</f>
        <v>3.77</v>
      </c>
      <c r="O516" s="137">
        <f t="shared" si="32"/>
        <v>0.010935754764605827</v>
      </c>
      <c r="P516" s="27"/>
      <c r="Q516" s="27"/>
    </row>
    <row r="517" spans="1:17" ht="33.75">
      <c r="A517" s="46" t="s">
        <v>842</v>
      </c>
      <c r="B517" s="144" t="s">
        <v>310</v>
      </c>
      <c r="C517" s="47" t="s">
        <v>1010</v>
      </c>
      <c r="D517" s="47" t="s">
        <v>1097</v>
      </c>
      <c r="E517" s="13" t="s">
        <v>1012</v>
      </c>
      <c r="F517" s="48" t="s">
        <v>1098</v>
      </c>
      <c r="G517" s="47" t="s">
        <v>843</v>
      </c>
      <c r="H517" s="48">
        <v>10</v>
      </c>
      <c r="I517" s="49">
        <v>1088049</v>
      </c>
      <c r="J517" s="49">
        <v>55490.5</v>
      </c>
      <c r="K517" s="50">
        <f t="shared" si="31"/>
        <v>0.051000000919076256</v>
      </c>
      <c r="L517" s="59">
        <v>41696</v>
      </c>
      <c r="M517" s="59" t="s">
        <v>844</v>
      </c>
      <c r="N517" s="145">
        <f>3692415.07/538049</f>
        <v>6.862600004832274</v>
      </c>
      <c r="O517" s="137">
        <f t="shared" si="32"/>
        <v>0.007431585825075744</v>
      </c>
      <c r="P517" s="27"/>
      <c r="Q517" s="27"/>
    </row>
    <row r="518" spans="1:15" ht="33.75">
      <c r="A518" s="46" t="s">
        <v>165</v>
      </c>
      <c r="B518" s="144" t="s">
        <v>310</v>
      </c>
      <c r="C518" s="47" t="s">
        <v>1010</v>
      </c>
      <c r="D518" s="47" t="s">
        <v>166</v>
      </c>
      <c r="E518" s="13" t="s">
        <v>1012</v>
      </c>
      <c r="F518" s="48" t="s">
        <v>1098</v>
      </c>
      <c r="G518" s="47" t="s">
        <v>167</v>
      </c>
      <c r="H518" s="48">
        <v>10</v>
      </c>
      <c r="I518" s="49">
        <v>425000</v>
      </c>
      <c r="J518" s="49">
        <v>31535</v>
      </c>
      <c r="K518" s="50">
        <f t="shared" si="31"/>
        <v>0.0742</v>
      </c>
      <c r="L518" s="59">
        <v>41828</v>
      </c>
      <c r="M518" s="59">
        <v>41876</v>
      </c>
      <c r="N518" s="145">
        <f>2853450/425000</f>
        <v>6.714</v>
      </c>
      <c r="O518" s="137">
        <f t="shared" si="32"/>
        <v>0.011051534107834375</v>
      </c>
    </row>
    <row r="519" spans="1:17" ht="22.5">
      <c r="A519" s="46" t="s">
        <v>719</v>
      </c>
      <c r="B519" s="144" t="s">
        <v>310</v>
      </c>
      <c r="C519" s="47" t="s">
        <v>1010</v>
      </c>
      <c r="D519" s="47" t="s">
        <v>1011</v>
      </c>
      <c r="E519" s="13" t="s">
        <v>1012</v>
      </c>
      <c r="F519" s="48" t="s">
        <v>1008</v>
      </c>
      <c r="G519" s="47" t="s">
        <v>720</v>
      </c>
      <c r="H519" s="48">
        <v>10</v>
      </c>
      <c r="I519" s="49">
        <v>785969</v>
      </c>
      <c r="J519" s="49">
        <v>40084.42</v>
      </c>
      <c r="K519" s="50">
        <f t="shared" si="31"/>
        <v>0.051000001272314806</v>
      </c>
      <c r="L519" s="59">
        <v>41780</v>
      </c>
      <c r="M519" s="59">
        <v>41827</v>
      </c>
      <c r="N519" s="145">
        <f>3368505.94/785969</f>
        <v>4.285799999745537</v>
      </c>
      <c r="O519" s="137">
        <f t="shared" si="32"/>
        <v>0.011899762302333953</v>
      </c>
      <c r="P519" s="27"/>
      <c r="Q519" s="27"/>
    </row>
    <row r="520" spans="1:17" ht="33.75">
      <c r="A520" s="46" t="s">
        <v>845</v>
      </c>
      <c r="B520" s="144" t="s">
        <v>310</v>
      </c>
      <c r="C520" s="47" t="s">
        <v>1010</v>
      </c>
      <c r="D520" s="47" t="s">
        <v>166</v>
      </c>
      <c r="E520" s="13" t="s">
        <v>1012</v>
      </c>
      <c r="F520" s="48" t="s">
        <v>1098</v>
      </c>
      <c r="G520" s="47" t="s">
        <v>846</v>
      </c>
      <c r="H520" s="48">
        <v>10</v>
      </c>
      <c r="I520" s="49">
        <v>199819</v>
      </c>
      <c r="J520" s="49">
        <v>20181.72</v>
      </c>
      <c r="K520" s="50">
        <f t="shared" si="31"/>
        <v>0.1010000050045291</v>
      </c>
      <c r="L520" s="59">
        <v>41696</v>
      </c>
      <c r="M520" s="59" t="s">
        <v>844</v>
      </c>
      <c r="N520" s="145">
        <f>459882.14/68496</f>
        <v>6.713999941602429</v>
      </c>
      <c r="O520" s="137">
        <f t="shared" si="32"/>
        <v>0.015043194203606659</v>
      </c>
      <c r="P520" s="27"/>
      <c r="Q520" s="27"/>
    </row>
    <row r="521" spans="1:15" ht="22.5">
      <c r="A521" s="46" t="s">
        <v>1025</v>
      </c>
      <c r="B521" s="144" t="s">
        <v>310</v>
      </c>
      <c r="C521" s="47" t="s">
        <v>1010</v>
      </c>
      <c r="D521" s="47" t="s">
        <v>1027</v>
      </c>
      <c r="E521" s="13" t="s">
        <v>1012</v>
      </c>
      <c r="F521" s="48" t="s">
        <v>1008</v>
      </c>
      <c r="G521" s="47" t="s">
        <v>1026</v>
      </c>
      <c r="H521" s="48">
        <v>10</v>
      </c>
      <c r="I521" s="49">
        <v>3231390</v>
      </c>
      <c r="J521" s="60">
        <v>300519.27</v>
      </c>
      <c r="K521" s="50">
        <f t="shared" si="31"/>
        <v>0.093</v>
      </c>
      <c r="L521" s="59">
        <v>41730</v>
      </c>
      <c r="M521" s="59">
        <v>41771</v>
      </c>
      <c r="N521" s="145">
        <f>16841358.4/3231390</f>
        <v>5.21179999938107</v>
      </c>
      <c r="O521" s="137">
        <f t="shared" si="32"/>
        <v>0.017844122953882394</v>
      </c>
    </row>
    <row r="522" spans="1:15" ht="33.75">
      <c r="A522" s="46" t="s">
        <v>1009</v>
      </c>
      <c r="B522" s="13" t="s">
        <v>310</v>
      </c>
      <c r="C522" s="13" t="s">
        <v>1010</v>
      </c>
      <c r="D522" s="47" t="s">
        <v>1017</v>
      </c>
      <c r="E522" s="13" t="s">
        <v>1012</v>
      </c>
      <c r="F522" s="48" t="s">
        <v>1008</v>
      </c>
      <c r="G522" s="47" t="s">
        <v>1015</v>
      </c>
      <c r="H522" s="48">
        <v>10</v>
      </c>
      <c r="I522" s="49">
        <v>1854900</v>
      </c>
      <c r="J522" s="60">
        <v>250411.5</v>
      </c>
      <c r="K522" s="50">
        <f t="shared" si="31"/>
        <v>0.135</v>
      </c>
      <c r="L522" s="59">
        <v>41730</v>
      </c>
      <c r="M522" s="59">
        <v>41771</v>
      </c>
      <c r="N522" s="145">
        <v>6.77</v>
      </c>
      <c r="O522" s="137">
        <f t="shared" si="32"/>
        <v>0.01994091580502216</v>
      </c>
    </row>
    <row r="523" spans="1:17" ht="33.75">
      <c r="A523" s="46" t="s">
        <v>716</v>
      </c>
      <c r="B523" s="13" t="s">
        <v>310</v>
      </c>
      <c r="C523" s="13" t="s">
        <v>1010</v>
      </c>
      <c r="D523" s="47" t="s">
        <v>717</v>
      </c>
      <c r="E523" s="13" t="s">
        <v>1012</v>
      </c>
      <c r="F523" s="48" t="s">
        <v>1098</v>
      </c>
      <c r="G523" s="47" t="s">
        <v>718</v>
      </c>
      <c r="H523" s="48">
        <v>10</v>
      </c>
      <c r="I523" s="49">
        <v>500000</v>
      </c>
      <c r="J523" s="49">
        <v>85425</v>
      </c>
      <c r="K523" s="50">
        <f t="shared" si="31"/>
        <v>0.17085</v>
      </c>
      <c r="L523" s="59">
        <v>41780</v>
      </c>
      <c r="M523" s="59" t="s">
        <v>1109</v>
      </c>
      <c r="N523" s="145">
        <f>3463350/500000</f>
        <v>6.9267</v>
      </c>
      <c r="O523" s="137">
        <f t="shared" si="32"/>
        <v>0.0246654250942007</v>
      </c>
      <c r="P523" s="27"/>
      <c r="Q523" s="27"/>
    </row>
    <row r="524" spans="1:17" ht="22.5">
      <c r="A524" s="46" t="s">
        <v>673</v>
      </c>
      <c r="B524" s="144" t="s">
        <v>310</v>
      </c>
      <c r="C524" s="47" t="s">
        <v>1010</v>
      </c>
      <c r="D524" s="47" t="s">
        <v>674</v>
      </c>
      <c r="E524" s="13" t="s">
        <v>1012</v>
      </c>
      <c r="F524" s="48" t="s">
        <v>1008</v>
      </c>
      <c r="G524" s="47" t="s">
        <v>675</v>
      </c>
      <c r="H524" s="48">
        <v>10</v>
      </c>
      <c r="I524" s="49">
        <v>745225</v>
      </c>
      <c r="J524" s="49">
        <v>111038.53</v>
      </c>
      <c r="K524" s="50">
        <f t="shared" si="31"/>
        <v>0.14900000670938307</v>
      </c>
      <c r="L524" s="59">
        <v>41746</v>
      </c>
      <c r="M524" s="59" t="s">
        <v>672</v>
      </c>
      <c r="N524" s="145">
        <f>4011024.52/745225</f>
        <v>5.3823000033546915</v>
      </c>
      <c r="O524" s="137">
        <f t="shared" si="32"/>
        <v>0.027683333633672227</v>
      </c>
      <c r="P524" s="27"/>
      <c r="Q524" s="27"/>
    </row>
    <row r="525" spans="1:15" ht="22.5">
      <c r="A525" s="46" t="s">
        <v>227</v>
      </c>
      <c r="B525" s="144" t="s">
        <v>310</v>
      </c>
      <c r="C525" s="47" t="s">
        <v>1010</v>
      </c>
      <c r="D525" s="47" t="s">
        <v>228</v>
      </c>
      <c r="E525" s="13" t="s">
        <v>1012</v>
      </c>
      <c r="F525" s="48" t="s">
        <v>1008</v>
      </c>
      <c r="G525" s="47" t="s">
        <v>229</v>
      </c>
      <c r="H525" s="48">
        <v>10</v>
      </c>
      <c r="I525" s="49">
        <v>539570</v>
      </c>
      <c r="J525" s="49">
        <v>111033</v>
      </c>
      <c r="K525" s="50">
        <f t="shared" si="31"/>
        <v>0.20578052893971124</v>
      </c>
      <c r="L525" s="59">
        <v>41830</v>
      </c>
      <c r="M525" s="59">
        <v>41864</v>
      </c>
      <c r="N525" s="145">
        <f>3394434.87/539570</f>
        <v>6.291</v>
      </c>
      <c r="O525" s="137">
        <f t="shared" si="32"/>
        <v>0.03271030502936119</v>
      </c>
    </row>
    <row r="526" spans="1:15" ht="22.5">
      <c r="A526" s="46" t="s">
        <v>1022</v>
      </c>
      <c r="B526" s="144" t="s">
        <v>310</v>
      </c>
      <c r="C526" s="47" t="s">
        <v>1010</v>
      </c>
      <c r="D526" s="47" t="s">
        <v>1024</v>
      </c>
      <c r="E526" s="13" t="s">
        <v>1012</v>
      </c>
      <c r="F526" s="48" t="s">
        <v>1008</v>
      </c>
      <c r="G526" s="47" t="s">
        <v>1023</v>
      </c>
      <c r="H526" s="48">
        <v>10</v>
      </c>
      <c r="I526" s="49">
        <v>942117</v>
      </c>
      <c r="J526" s="60">
        <v>250037.85</v>
      </c>
      <c r="K526" s="50">
        <f t="shared" si="31"/>
        <v>0.2653999980894093</v>
      </c>
      <c r="L526" s="59">
        <v>41730</v>
      </c>
      <c r="M526" s="59" t="s">
        <v>1021</v>
      </c>
      <c r="N526" s="145">
        <v>7.83</v>
      </c>
      <c r="O526" s="137">
        <f t="shared" si="32"/>
        <v>0.033895274340920725</v>
      </c>
    </row>
    <row r="527" spans="1:15" ht="33.75">
      <c r="A527" s="46" t="s">
        <v>1100</v>
      </c>
      <c r="B527" s="144" t="s">
        <v>310</v>
      </c>
      <c r="C527" s="47" t="s">
        <v>1010</v>
      </c>
      <c r="D527" s="47" t="s">
        <v>1101</v>
      </c>
      <c r="E527" s="13" t="s">
        <v>1012</v>
      </c>
      <c r="F527" s="48" t="s">
        <v>1098</v>
      </c>
      <c r="G527" s="47" t="s">
        <v>1102</v>
      </c>
      <c r="H527" s="48">
        <v>10</v>
      </c>
      <c r="I527" s="49">
        <v>420000</v>
      </c>
      <c r="J527" s="49">
        <v>100380</v>
      </c>
      <c r="K527" s="50">
        <f t="shared" si="31"/>
        <v>0.239</v>
      </c>
      <c r="L527" s="59" t="s">
        <v>1103</v>
      </c>
      <c r="M527" s="59" t="s">
        <v>1104</v>
      </c>
      <c r="N527" s="145">
        <f>2956002/420000</f>
        <v>7.0381</v>
      </c>
      <c r="O527" s="137">
        <f t="shared" si="32"/>
        <v>0.033958028445176966</v>
      </c>
    </row>
    <row r="528" spans="1:17" ht="33.75">
      <c r="A528" s="46" t="s">
        <v>668</v>
      </c>
      <c r="B528" s="13" t="s">
        <v>310</v>
      </c>
      <c r="C528" s="13" t="s">
        <v>1010</v>
      </c>
      <c r="D528" s="47" t="s">
        <v>669</v>
      </c>
      <c r="E528" s="13" t="s">
        <v>1012</v>
      </c>
      <c r="F528" s="48" t="s">
        <v>1008</v>
      </c>
      <c r="G528" s="47" t="s">
        <v>670</v>
      </c>
      <c r="H528" s="48">
        <v>10</v>
      </c>
      <c r="I528" s="49">
        <v>2574509</v>
      </c>
      <c r="J528" s="49">
        <v>509752.78</v>
      </c>
      <c r="K528" s="50">
        <f aca="true" t="shared" si="33" ref="K528:K533">J528/I528</f>
        <v>0.19799999922315284</v>
      </c>
      <c r="L528" s="59" t="s">
        <v>671</v>
      </c>
      <c r="M528" s="59" t="s">
        <v>672</v>
      </c>
      <c r="N528" s="145">
        <f>3073949.31/565376</f>
        <v>5.436999996462531</v>
      </c>
      <c r="O528" s="137">
        <f aca="true" t="shared" si="34" ref="O528:O533">K528/N528</f>
        <v>0.036417141686955555</v>
      </c>
      <c r="P528" s="27"/>
      <c r="Q528" s="27"/>
    </row>
    <row r="529" spans="1:15" ht="33.75">
      <c r="A529" s="46" t="s">
        <v>1096</v>
      </c>
      <c r="B529" s="13" t="s">
        <v>310</v>
      </c>
      <c r="C529" s="13" t="s">
        <v>1010</v>
      </c>
      <c r="D529" s="47" t="s">
        <v>1097</v>
      </c>
      <c r="E529" s="13" t="s">
        <v>1012</v>
      </c>
      <c r="F529" s="48" t="s">
        <v>1098</v>
      </c>
      <c r="G529" s="47" t="s">
        <v>1099</v>
      </c>
      <c r="H529" s="48">
        <v>10</v>
      </c>
      <c r="I529" s="49">
        <v>436000</v>
      </c>
      <c r="J529" s="49">
        <v>130364</v>
      </c>
      <c r="K529" s="50">
        <f t="shared" si="33"/>
        <v>0.299</v>
      </c>
      <c r="L529" s="59">
        <v>41703</v>
      </c>
      <c r="M529" s="59">
        <v>41757</v>
      </c>
      <c r="N529" s="145">
        <f>2992093.6/436000</f>
        <v>6.8626000000000005</v>
      </c>
      <c r="O529" s="137">
        <f t="shared" si="34"/>
        <v>0.04356949261212951</v>
      </c>
    </row>
    <row r="530" spans="1:17" ht="22.5">
      <c r="A530" s="46" t="s">
        <v>676</v>
      </c>
      <c r="B530" s="13" t="s">
        <v>310</v>
      </c>
      <c r="C530" s="13" t="s">
        <v>1010</v>
      </c>
      <c r="D530" s="47" t="s">
        <v>1101</v>
      </c>
      <c r="E530" s="13" t="s">
        <v>1012</v>
      </c>
      <c r="F530" s="48" t="s">
        <v>1008</v>
      </c>
      <c r="G530" s="47" t="s">
        <v>677</v>
      </c>
      <c r="H530" s="48">
        <v>10</v>
      </c>
      <c r="I530" s="49">
        <v>472526</v>
      </c>
      <c r="J530" s="49">
        <v>150263.27</v>
      </c>
      <c r="K530" s="50">
        <f t="shared" si="33"/>
        <v>0.3180000042325713</v>
      </c>
      <c r="L530" s="59">
        <v>41746</v>
      </c>
      <c r="M530" s="59">
        <v>41785</v>
      </c>
      <c r="N530" s="145">
        <f>3325685.24/472526</f>
        <v>7.038099998730229</v>
      </c>
      <c r="O530" s="137">
        <f t="shared" si="34"/>
        <v>0.04518264933575012</v>
      </c>
      <c r="P530" s="27"/>
      <c r="Q530" s="27"/>
    </row>
    <row r="531" spans="1:17" ht="33.75">
      <c r="A531" s="46" t="s">
        <v>523</v>
      </c>
      <c r="B531" s="144" t="s">
        <v>310</v>
      </c>
      <c r="C531" s="47" t="s">
        <v>1157</v>
      </c>
      <c r="D531" s="47" t="s">
        <v>1158</v>
      </c>
      <c r="E531" s="13" t="s">
        <v>1012</v>
      </c>
      <c r="F531" s="48" t="s">
        <v>524</v>
      </c>
      <c r="G531" s="47" t="s">
        <v>525</v>
      </c>
      <c r="H531" s="48">
        <v>15</v>
      </c>
      <c r="I531" s="49">
        <v>398400</v>
      </c>
      <c r="J531" s="49">
        <v>14786</v>
      </c>
      <c r="K531" s="50">
        <f t="shared" si="33"/>
        <v>0.037113453815261044</v>
      </c>
      <c r="L531" s="59">
        <v>41955</v>
      </c>
      <c r="M531" s="59">
        <v>41990</v>
      </c>
      <c r="N531" s="145">
        <f>880464/398400</f>
        <v>2.21</v>
      </c>
      <c r="O531" s="148">
        <f t="shared" si="34"/>
        <v>0.016793418015955224</v>
      </c>
      <c r="P531" s="27"/>
      <c r="Q531" s="27"/>
    </row>
    <row r="532" spans="1:16" ht="22.5">
      <c r="A532" s="46" t="s">
        <v>1156</v>
      </c>
      <c r="B532" s="144" t="s">
        <v>310</v>
      </c>
      <c r="C532" s="47" t="s">
        <v>1157</v>
      </c>
      <c r="D532" s="47" t="s">
        <v>1158</v>
      </c>
      <c r="E532" s="13" t="s">
        <v>1012</v>
      </c>
      <c r="F532" s="48" t="s">
        <v>1159</v>
      </c>
      <c r="G532" s="47" t="s">
        <v>1160</v>
      </c>
      <c r="H532" s="51">
        <v>20</v>
      </c>
      <c r="I532" s="49">
        <v>400000</v>
      </c>
      <c r="J532" s="49">
        <v>20775</v>
      </c>
      <c r="K532" s="50">
        <f t="shared" si="33"/>
        <v>0.0519375</v>
      </c>
      <c r="L532" s="48" t="s">
        <v>1161</v>
      </c>
      <c r="M532" s="48" t="s">
        <v>1162</v>
      </c>
      <c r="N532" s="145">
        <f>1367719.56/399918</f>
        <v>3.42</v>
      </c>
      <c r="O532" s="148">
        <f t="shared" si="34"/>
        <v>0.01518640350877193</v>
      </c>
      <c r="P532" s="27"/>
    </row>
    <row r="533" spans="1:17" ht="33.75">
      <c r="A533" s="46" t="s">
        <v>526</v>
      </c>
      <c r="B533" s="144" t="s">
        <v>310</v>
      </c>
      <c r="C533" s="47" t="s">
        <v>1157</v>
      </c>
      <c r="D533" s="47" t="s">
        <v>1158</v>
      </c>
      <c r="E533" s="13" t="s">
        <v>1012</v>
      </c>
      <c r="F533" s="48" t="s">
        <v>524</v>
      </c>
      <c r="G533" s="47" t="s">
        <v>527</v>
      </c>
      <c r="H533" s="48">
        <v>40</v>
      </c>
      <c r="I533" s="49">
        <v>882504</v>
      </c>
      <c r="J533" s="49">
        <v>32753</v>
      </c>
      <c r="K533" s="50">
        <f t="shared" si="33"/>
        <v>0.03711371279903547</v>
      </c>
      <c r="L533" s="59">
        <v>41955</v>
      </c>
      <c r="M533" s="59">
        <v>41990</v>
      </c>
      <c r="N533" s="145">
        <f>1950333.84/882504</f>
        <v>2.21</v>
      </c>
      <c r="O533" s="148">
        <f t="shared" si="34"/>
        <v>0.016793535203183472</v>
      </c>
      <c r="P533" s="27"/>
      <c r="Q533" s="27"/>
    </row>
    <row r="534" spans="1:17" ht="11.25">
      <c r="A534" s="46"/>
      <c r="B534" s="144"/>
      <c r="C534" s="47"/>
      <c r="D534" s="47"/>
      <c r="E534" s="47"/>
      <c r="F534" s="48"/>
      <c r="G534" s="47"/>
      <c r="H534" s="48"/>
      <c r="I534" s="49"/>
      <c r="J534" s="49"/>
      <c r="K534" s="50"/>
      <c r="L534" s="59"/>
      <c r="M534" s="59"/>
      <c r="N534" s="145"/>
      <c r="O534" s="148"/>
      <c r="P534" s="27"/>
      <c r="Q534" s="27"/>
    </row>
    <row r="535" spans="1:17" ht="11.25">
      <c r="A535" s="46"/>
      <c r="B535" s="144"/>
      <c r="C535" s="47"/>
      <c r="D535" s="47"/>
      <c r="E535" s="47"/>
      <c r="F535" s="48"/>
      <c r="G535" s="47"/>
      <c r="H535" s="48"/>
      <c r="I535" s="49"/>
      <c r="J535" s="49"/>
      <c r="K535" s="50"/>
      <c r="L535" s="59"/>
      <c r="M535" s="59"/>
      <c r="N535" s="145"/>
      <c r="O535" s="148"/>
      <c r="P535" s="27"/>
      <c r="Q535" s="27"/>
    </row>
    <row r="536" spans="1:17" ht="11.25">
      <c r="A536" s="46"/>
      <c r="B536" s="144"/>
      <c r="C536" s="47"/>
      <c r="D536" s="47"/>
      <c r="E536" s="47"/>
      <c r="F536" s="48"/>
      <c r="G536" s="47"/>
      <c r="H536" s="48"/>
      <c r="I536" s="49"/>
      <c r="J536" s="49"/>
      <c r="K536" s="50"/>
      <c r="L536" s="59"/>
      <c r="M536" s="59"/>
      <c r="N536" s="145"/>
      <c r="O536" s="148"/>
      <c r="P536" s="27"/>
      <c r="Q536" s="27"/>
    </row>
    <row r="537" spans="1:15" ht="11.25">
      <c r="A537" s="46"/>
      <c r="B537" s="144"/>
      <c r="C537" s="47"/>
      <c r="D537" s="47"/>
      <c r="E537" s="47"/>
      <c r="F537" s="48"/>
      <c r="G537" s="47"/>
      <c r="H537" s="48"/>
      <c r="I537" s="49"/>
      <c r="J537" s="49"/>
      <c r="K537" s="50"/>
      <c r="L537" s="59"/>
      <c r="M537" s="59"/>
      <c r="N537" s="145"/>
      <c r="O537" s="149"/>
    </row>
    <row r="538" spans="1:15" ht="11.25">
      <c r="A538" s="46"/>
      <c r="B538" s="144"/>
      <c r="C538" s="47"/>
      <c r="D538" s="47"/>
      <c r="E538" s="47"/>
      <c r="F538" s="48"/>
      <c r="G538" s="47"/>
      <c r="H538" s="48"/>
      <c r="I538" s="49"/>
      <c r="J538" s="49"/>
      <c r="K538" s="50"/>
      <c r="L538" s="59"/>
      <c r="M538" s="59"/>
      <c r="N538" s="145"/>
      <c r="O538" s="149"/>
    </row>
    <row r="539" spans="1:15" ht="11.25">
      <c r="A539" s="46"/>
      <c r="B539" s="144"/>
      <c r="C539" s="47"/>
      <c r="D539" s="47"/>
      <c r="E539" s="47"/>
      <c r="F539" s="48"/>
      <c r="G539" s="47"/>
      <c r="H539" s="48"/>
      <c r="I539" s="49"/>
      <c r="J539" s="49"/>
      <c r="K539" s="50"/>
      <c r="L539" s="59"/>
      <c r="M539" s="59"/>
      <c r="N539" s="145"/>
      <c r="O539" s="149"/>
    </row>
    <row r="540" spans="1:15" ht="12" thickBot="1">
      <c r="A540" s="7"/>
      <c r="B540" s="150"/>
      <c r="C540" s="34"/>
      <c r="D540" s="34"/>
      <c r="E540" s="34"/>
      <c r="F540" s="17"/>
      <c r="G540" s="34"/>
      <c r="H540" s="17"/>
      <c r="I540" s="21"/>
      <c r="J540" s="21"/>
      <c r="K540" s="38"/>
      <c r="L540" s="138"/>
      <c r="M540" s="138"/>
      <c r="N540" s="139"/>
      <c r="O540" s="20"/>
    </row>
    <row r="541" spans="3:15" ht="11.25">
      <c r="C541" s="2"/>
      <c r="D541" s="2"/>
      <c r="E541" s="2"/>
      <c r="F541" s="24"/>
      <c r="G541" s="2"/>
      <c r="H541" s="24"/>
      <c r="I541" s="24"/>
      <c r="J541" s="24"/>
      <c r="K541" s="2"/>
      <c r="N541" s="105" t="s">
        <v>132</v>
      </c>
      <c r="O541" s="102">
        <f>MAX(O456:O540)</f>
        <v>0.05223525118365073</v>
      </c>
    </row>
    <row r="542" spans="3:11" ht="11.25">
      <c r="C542" s="2"/>
      <c r="D542" s="2"/>
      <c r="E542" s="2"/>
      <c r="F542" s="24"/>
      <c r="G542" s="2"/>
      <c r="H542" s="24"/>
      <c r="I542" s="24"/>
      <c r="J542" s="24"/>
      <c r="K542" s="2"/>
    </row>
    <row r="543" spans="3:11" ht="11.25">
      <c r="C543" s="2"/>
      <c r="D543" s="2"/>
      <c r="E543" s="2"/>
      <c r="F543" s="24"/>
      <c r="G543" s="2"/>
      <c r="H543" s="24"/>
      <c r="I543" s="24"/>
      <c r="J543" s="24"/>
      <c r="K543" s="2"/>
    </row>
    <row r="544" spans="3:11" ht="11.25">
      <c r="C544" s="2"/>
      <c r="D544" s="2"/>
      <c r="E544" s="2"/>
      <c r="F544" s="24"/>
      <c r="G544" s="2"/>
      <c r="H544" s="24"/>
      <c r="I544" s="24"/>
      <c r="J544" s="24"/>
      <c r="K544" s="2"/>
    </row>
    <row r="545" spans="3:11" ht="11.25">
      <c r="C545" s="2"/>
      <c r="D545" s="2"/>
      <c r="E545" s="2"/>
      <c r="F545" s="24"/>
      <c r="G545" s="2"/>
      <c r="H545" s="24"/>
      <c r="I545" s="24"/>
      <c r="J545" s="24"/>
      <c r="K545" s="2"/>
    </row>
    <row r="546" spans="3:11" ht="11.25">
      <c r="C546" s="2"/>
      <c r="D546" s="2"/>
      <c r="E546" s="2"/>
      <c r="F546" s="24"/>
      <c r="G546" s="2"/>
      <c r="H546" s="24"/>
      <c r="I546" s="24"/>
      <c r="J546" s="24"/>
      <c r="K546" s="2"/>
    </row>
    <row r="547" spans="3:11" ht="11.25">
      <c r="C547" s="2"/>
      <c r="D547" s="2"/>
      <c r="E547" s="2"/>
      <c r="F547" s="24"/>
      <c r="G547" s="2"/>
      <c r="H547" s="24"/>
      <c r="I547" s="24"/>
      <c r="J547" s="24"/>
      <c r="K547" s="2"/>
    </row>
    <row r="548" spans="3:11" ht="11.25">
      <c r="C548" s="2"/>
      <c r="D548" s="2"/>
      <c r="E548" s="2"/>
      <c r="F548" s="24"/>
      <c r="G548" s="2"/>
      <c r="H548" s="24"/>
      <c r="I548" s="24"/>
      <c r="J548" s="24"/>
      <c r="K548" s="2"/>
    </row>
    <row r="549" spans="3:11" ht="11.25">
      <c r="C549" s="2"/>
      <c r="D549" s="2"/>
      <c r="E549" s="2"/>
      <c r="F549" s="24"/>
      <c r="G549" s="2"/>
      <c r="H549" s="24"/>
      <c r="I549" s="24"/>
      <c r="J549" s="24"/>
      <c r="K549" s="2"/>
    </row>
    <row r="550" spans="3:11" ht="11.25">
      <c r="C550" s="2"/>
      <c r="D550" s="2"/>
      <c r="E550" s="2"/>
      <c r="F550" s="24"/>
      <c r="G550" s="2"/>
      <c r="H550" s="24"/>
      <c r="I550" s="24"/>
      <c r="J550" s="24"/>
      <c r="K550" s="2"/>
    </row>
    <row r="551" spans="3:11" ht="11.25">
      <c r="C551" s="2"/>
      <c r="D551" s="2"/>
      <c r="E551" s="2"/>
      <c r="F551" s="24"/>
      <c r="G551" s="2"/>
      <c r="H551" s="24"/>
      <c r="I551" s="24"/>
      <c r="J551" s="24"/>
      <c r="K551" s="2"/>
    </row>
    <row r="552" spans="3:11" ht="11.25">
      <c r="C552" s="2"/>
      <c r="D552" s="2"/>
      <c r="E552" s="2"/>
      <c r="F552" s="24"/>
      <c r="G552" s="2"/>
      <c r="H552" s="24"/>
      <c r="I552" s="24"/>
      <c r="J552" s="24"/>
      <c r="K552" s="2"/>
    </row>
    <row r="553" spans="3:11" ht="11.25">
      <c r="C553" s="2"/>
      <c r="D553" s="2"/>
      <c r="E553" s="2"/>
      <c r="F553" s="24"/>
      <c r="G553" s="2"/>
      <c r="H553" s="24"/>
      <c r="I553" s="24"/>
      <c r="J553" s="24"/>
      <c r="K553" s="2"/>
    </row>
    <row r="554" spans="3:11" ht="11.25">
      <c r="C554" s="2"/>
      <c r="D554" s="2"/>
      <c r="E554" s="2"/>
      <c r="F554" s="24"/>
      <c r="G554" s="2"/>
      <c r="H554" s="24"/>
      <c r="I554" s="24"/>
      <c r="J554" s="24"/>
      <c r="K554" s="2"/>
    </row>
    <row r="555" spans="3:11" ht="11.25">
      <c r="C555" s="2"/>
      <c r="D555" s="2"/>
      <c r="E555" s="2"/>
      <c r="F555" s="24"/>
      <c r="G555" s="2"/>
      <c r="H555" s="24"/>
      <c r="I555" s="24"/>
      <c r="J555" s="24"/>
      <c r="K555" s="2"/>
    </row>
    <row r="556" spans="3:11" ht="11.25">
      <c r="C556" s="2"/>
      <c r="D556" s="2"/>
      <c r="E556" s="2"/>
      <c r="F556" s="24"/>
      <c r="G556" s="2"/>
      <c r="H556" s="24"/>
      <c r="I556" s="24"/>
      <c r="J556" s="24"/>
      <c r="K556" s="2"/>
    </row>
    <row r="557" spans="3:11" ht="11.25">
      <c r="C557" s="2"/>
      <c r="D557" s="2"/>
      <c r="E557" s="2"/>
      <c r="F557" s="24"/>
      <c r="G557" s="2"/>
      <c r="H557" s="24"/>
      <c r="I557" s="24"/>
      <c r="J557" s="24"/>
      <c r="K557" s="2"/>
    </row>
    <row r="558" spans="3:11" ht="11.25">
      <c r="C558" s="2"/>
      <c r="D558" s="2"/>
      <c r="E558" s="2"/>
      <c r="F558" s="24"/>
      <c r="G558" s="2"/>
      <c r="H558" s="24"/>
      <c r="I558" s="24"/>
      <c r="J558" s="24"/>
      <c r="K558" s="2"/>
    </row>
    <row r="559" spans="3:11" ht="11.25">
      <c r="C559" s="2"/>
      <c r="D559" s="2"/>
      <c r="E559" s="2"/>
      <c r="F559" s="24"/>
      <c r="G559" s="2"/>
      <c r="H559" s="24"/>
      <c r="I559" s="24"/>
      <c r="J559" s="24"/>
      <c r="K559" s="2"/>
    </row>
    <row r="560" spans="3:11" ht="11.25">
      <c r="C560" s="2"/>
      <c r="D560" s="2"/>
      <c r="E560" s="2"/>
      <c r="F560" s="24"/>
      <c r="G560" s="2"/>
      <c r="H560" s="24"/>
      <c r="I560" s="24"/>
      <c r="J560" s="24"/>
      <c r="K560" s="2"/>
    </row>
    <row r="561" spans="3:11" ht="11.25">
      <c r="C561" s="2"/>
      <c r="D561" s="2"/>
      <c r="E561" s="2"/>
      <c r="F561" s="24"/>
      <c r="G561" s="2"/>
      <c r="H561" s="24"/>
      <c r="I561" s="24"/>
      <c r="J561" s="24"/>
      <c r="K561" s="2"/>
    </row>
    <row r="562" spans="3:11" ht="11.25">
      <c r="C562" s="2"/>
      <c r="D562" s="2"/>
      <c r="E562" s="2"/>
      <c r="F562" s="24"/>
      <c r="G562" s="2"/>
      <c r="H562" s="24"/>
      <c r="I562" s="24"/>
      <c r="J562" s="24"/>
      <c r="K562" s="2"/>
    </row>
    <row r="563" spans="3:11" ht="11.25">
      <c r="C563" s="2"/>
      <c r="D563" s="2"/>
      <c r="E563" s="2"/>
      <c r="F563" s="24"/>
      <c r="G563" s="2"/>
      <c r="H563" s="24"/>
      <c r="I563" s="24"/>
      <c r="J563" s="24"/>
      <c r="K563" s="2"/>
    </row>
    <row r="564" spans="3:11" ht="11.25">
      <c r="C564" s="2"/>
      <c r="D564" s="2"/>
      <c r="E564" s="2"/>
      <c r="F564" s="24"/>
      <c r="G564" s="2"/>
      <c r="H564" s="24"/>
      <c r="I564" s="24"/>
      <c r="J564" s="24"/>
      <c r="K564" s="2"/>
    </row>
    <row r="565" spans="3:11" ht="11.25">
      <c r="C565" s="2"/>
      <c r="D565" s="2"/>
      <c r="E565" s="2"/>
      <c r="F565" s="24"/>
      <c r="G565" s="2"/>
      <c r="H565" s="24"/>
      <c r="I565" s="24"/>
      <c r="J565" s="24"/>
      <c r="K565" s="2"/>
    </row>
    <row r="566" spans="3:11" ht="11.25">
      <c r="C566" s="2"/>
      <c r="D566" s="2"/>
      <c r="E566" s="2"/>
      <c r="F566" s="24"/>
      <c r="G566" s="2"/>
      <c r="H566" s="24"/>
      <c r="I566" s="24"/>
      <c r="J566" s="24"/>
      <c r="K566" s="2"/>
    </row>
    <row r="567" spans="3:11" ht="11.25">
      <c r="C567" s="2"/>
      <c r="D567" s="2"/>
      <c r="E567" s="2"/>
      <c r="F567" s="24"/>
      <c r="G567" s="2"/>
      <c r="H567" s="24"/>
      <c r="I567" s="24"/>
      <c r="J567" s="24"/>
      <c r="K567" s="2"/>
    </row>
    <row r="568" spans="3:11" ht="11.25">
      <c r="C568" s="2"/>
      <c r="D568" s="2"/>
      <c r="E568" s="2"/>
      <c r="F568" s="24"/>
      <c r="G568" s="2"/>
      <c r="H568" s="24"/>
      <c r="I568" s="24"/>
      <c r="J568" s="24"/>
      <c r="K568" s="2"/>
    </row>
    <row r="569" spans="3:11" ht="11.25">
      <c r="C569" s="2"/>
      <c r="D569" s="2"/>
      <c r="E569" s="2"/>
      <c r="F569" s="24"/>
      <c r="G569" s="2"/>
      <c r="H569" s="24"/>
      <c r="I569" s="24"/>
      <c r="J569" s="24"/>
      <c r="K569" s="2"/>
    </row>
    <row r="570" spans="3:11" ht="11.25">
      <c r="C570" s="2"/>
      <c r="D570" s="2"/>
      <c r="E570" s="2"/>
      <c r="F570" s="24"/>
      <c r="G570" s="2"/>
      <c r="H570" s="24"/>
      <c r="I570" s="24"/>
      <c r="J570" s="24"/>
      <c r="K570" s="2"/>
    </row>
    <row r="571" spans="1:11" ht="15.75">
      <c r="A571" s="78" t="s">
        <v>120</v>
      </c>
      <c r="C571" s="2"/>
      <c r="D571" s="2"/>
      <c r="E571" s="2"/>
      <c r="F571" s="24"/>
      <c r="G571" s="2"/>
      <c r="H571" s="24"/>
      <c r="I571" s="24"/>
      <c r="J571" s="24"/>
      <c r="K571" s="2"/>
    </row>
    <row r="572" spans="1:15" ht="45">
      <c r="A572" s="6" t="s">
        <v>400</v>
      </c>
      <c r="B572" s="63" t="s">
        <v>310</v>
      </c>
      <c r="C572" s="13" t="s">
        <v>1142</v>
      </c>
      <c r="D572" s="13" t="s">
        <v>402</v>
      </c>
      <c r="E572" s="13" t="s">
        <v>1012</v>
      </c>
      <c r="F572" s="3" t="s">
        <v>403</v>
      </c>
      <c r="G572" s="13" t="s">
        <v>401</v>
      </c>
      <c r="H572" s="3">
        <v>3</v>
      </c>
      <c r="I572" s="15">
        <v>748400</v>
      </c>
      <c r="J572" s="15">
        <v>9950</v>
      </c>
      <c r="K572" s="26">
        <f aca="true" t="shared" si="35" ref="K572:K599">J572/I572</f>
        <v>0.013295029396044896</v>
      </c>
      <c r="L572" s="136" t="s">
        <v>404</v>
      </c>
      <c r="M572" s="136" t="s">
        <v>405</v>
      </c>
      <c r="N572" s="18">
        <f>2862704.33/748439</f>
        <v>3.8248999985302743</v>
      </c>
      <c r="O572" s="141">
        <f aca="true" t="shared" si="36" ref="O572:O599">K572/N572</f>
        <v>0.0034759155536493867</v>
      </c>
    </row>
    <row r="573" spans="1:16" ht="33.75">
      <c r="A573" s="6" t="s">
        <v>780</v>
      </c>
      <c r="B573" s="13" t="s">
        <v>308</v>
      </c>
      <c r="C573" s="13" t="s">
        <v>781</v>
      </c>
      <c r="D573" s="13" t="s">
        <v>782</v>
      </c>
      <c r="E573" s="13" t="s">
        <v>1012</v>
      </c>
      <c r="F573" s="3" t="s">
        <v>1036</v>
      </c>
      <c r="G573" s="13" t="s">
        <v>783</v>
      </c>
      <c r="H573" s="3">
        <v>5</v>
      </c>
      <c r="I573" s="15">
        <v>13000</v>
      </c>
      <c r="J573" s="15">
        <v>6200</v>
      </c>
      <c r="K573" s="26">
        <f t="shared" si="35"/>
        <v>0.47692307692307695</v>
      </c>
      <c r="L573" s="136">
        <v>41843</v>
      </c>
      <c r="M573" s="136" t="s">
        <v>784</v>
      </c>
      <c r="N573" s="18">
        <f>27430/13000</f>
        <v>2.11</v>
      </c>
      <c r="O573" s="141">
        <f t="shared" si="36"/>
        <v>0.2260298942763398</v>
      </c>
      <c r="P573" s="27"/>
    </row>
    <row r="574" spans="1:17" ht="33.75">
      <c r="A574" s="46" t="s">
        <v>484</v>
      </c>
      <c r="B574" s="144" t="s">
        <v>308</v>
      </c>
      <c r="C574" s="47" t="s">
        <v>1047</v>
      </c>
      <c r="D574" s="47" t="s">
        <v>740</v>
      </c>
      <c r="E574" s="13" t="s">
        <v>1012</v>
      </c>
      <c r="F574" s="48" t="s">
        <v>741</v>
      </c>
      <c r="G574" s="47" t="s">
        <v>485</v>
      </c>
      <c r="H574" s="48">
        <v>5</v>
      </c>
      <c r="I574" s="49">
        <v>67325</v>
      </c>
      <c r="J574" s="49">
        <v>25426</v>
      </c>
      <c r="K574" s="50">
        <f t="shared" si="35"/>
        <v>0.37766060155959896</v>
      </c>
      <c r="L574" s="59">
        <v>41920</v>
      </c>
      <c r="M574" s="59" t="s">
        <v>486</v>
      </c>
      <c r="N574" s="145">
        <f>369614.25/67325</f>
        <v>5.49</v>
      </c>
      <c r="O574" s="141">
        <f t="shared" si="36"/>
        <v>0.06879063780684863</v>
      </c>
      <c r="P574" s="27"/>
      <c r="Q574" s="27"/>
    </row>
    <row r="575" spans="1:17" ht="22.5">
      <c r="A575" s="6" t="s">
        <v>468</v>
      </c>
      <c r="B575" s="13" t="s">
        <v>310</v>
      </c>
      <c r="C575" s="13" t="s">
        <v>1142</v>
      </c>
      <c r="D575" s="13" t="s">
        <v>469</v>
      </c>
      <c r="E575" s="13" t="s">
        <v>1012</v>
      </c>
      <c r="F575" s="3" t="s">
        <v>1006</v>
      </c>
      <c r="G575" s="13" t="s">
        <v>470</v>
      </c>
      <c r="H575" s="3">
        <v>7</v>
      </c>
      <c r="I575" s="15">
        <v>1991000</v>
      </c>
      <c r="J575" s="15">
        <v>239000</v>
      </c>
      <c r="K575" s="26">
        <f t="shared" si="35"/>
        <v>0.12004018081366148</v>
      </c>
      <c r="L575" s="136">
        <v>41918</v>
      </c>
      <c r="M575" s="136">
        <v>41939</v>
      </c>
      <c r="N575" s="18">
        <f>2234505.28/3990188</f>
        <v>0.5599999999999999</v>
      </c>
      <c r="O575" s="141">
        <f t="shared" si="36"/>
        <v>0.21435746573868125</v>
      </c>
      <c r="P575" s="27"/>
      <c r="Q575" s="27"/>
    </row>
    <row r="576" spans="1:16" ht="33.75">
      <c r="A576" s="6" t="s">
        <v>432</v>
      </c>
      <c r="B576" s="63" t="s">
        <v>308</v>
      </c>
      <c r="C576" s="13" t="s">
        <v>781</v>
      </c>
      <c r="D576" s="13" t="s">
        <v>782</v>
      </c>
      <c r="E576" s="13" t="s">
        <v>1012</v>
      </c>
      <c r="F576" s="3" t="s">
        <v>1036</v>
      </c>
      <c r="G576" s="13" t="s">
        <v>433</v>
      </c>
      <c r="H576" s="36">
        <v>5</v>
      </c>
      <c r="I576" s="15">
        <v>685610</v>
      </c>
      <c r="J576" s="15">
        <v>94000</v>
      </c>
      <c r="K576" s="26">
        <f t="shared" si="35"/>
        <v>0.13710418459474044</v>
      </c>
      <c r="L576" s="136">
        <v>41913</v>
      </c>
      <c r="M576" s="136" t="s">
        <v>431</v>
      </c>
      <c r="N576" s="18">
        <f>1343795.6/685610</f>
        <v>1.9600000000000002</v>
      </c>
      <c r="O576" s="141">
        <f t="shared" si="36"/>
        <v>0.06995111458915328</v>
      </c>
      <c r="P576" s="27"/>
    </row>
    <row r="577" spans="1:16" ht="33.75">
      <c r="A577" s="6" t="s">
        <v>429</v>
      </c>
      <c r="B577" s="13" t="s">
        <v>308</v>
      </c>
      <c r="C577" s="13" t="s">
        <v>781</v>
      </c>
      <c r="D577" s="13" t="s">
        <v>782</v>
      </c>
      <c r="E577" s="13" t="s">
        <v>1012</v>
      </c>
      <c r="F577" s="3" t="s">
        <v>1036</v>
      </c>
      <c r="G577" s="13" t="s">
        <v>430</v>
      </c>
      <c r="H577" s="36">
        <v>5</v>
      </c>
      <c r="I577" s="15">
        <v>2543062</v>
      </c>
      <c r="J577" s="15">
        <v>350000</v>
      </c>
      <c r="K577" s="26">
        <f t="shared" si="35"/>
        <v>0.13762936176939453</v>
      </c>
      <c r="L577" s="136">
        <v>41913</v>
      </c>
      <c r="M577" s="136" t="s">
        <v>431</v>
      </c>
      <c r="N577" s="18">
        <f>4958970.9/2543062</f>
        <v>1.9500000000000002</v>
      </c>
      <c r="O577" s="141">
        <f t="shared" si="36"/>
        <v>0.07057915988174078</v>
      </c>
      <c r="P577" s="27"/>
    </row>
    <row r="578" spans="1:15" ht="22.5">
      <c r="A578" s="46" t="s">
        <v>242</v>
      </c>
      <c r="B578" s="144" t="s">
        <v>310</v>
      </c>
      <c r="C578" s="47" t="s">
        <v>1142</v>
      </c>
      <c r="D578" s="47" t="s">
        <v>243</v>
      </c>
      <c r="E578" s="13" t="s">
        <v>1012</v>
      </c>
      <c r="F578" s="48" t="s">
        <v>240</v>
      </c>
      <c r="G578" s="146" t="s">
        <v>244</v>
      </c>
      <c r="H578" s="51">
        <v>7</v>
      </c>
      <c r="I578" s="49">
        <v>100036</v>
      </c>
      <c r="J578" s="49">
        <v>25819</v>
      </c>
      <c r="K578" s="50">
        <f t="shared" si="35"/>
        <v>0.2580970850493822</v>
      </c>
      <c r="L578" s="59">
        <v>41681</v>
      </c>
      <c r="M578" s="59">
        <v>41723</v>
      </c>
      <c r="N578" s="145">
        <f>422151.92/100036</f>
        <v>4.22</v>
      </c>
      <c r="O578" s="141">
        <f t="shared" si="36"/>
        <v>0.061160446694166405</v>
      </c>
    </row>
    <row r="579" spans="1:15" ht="22.5">
      <c r="A579" s="46" t="s">
        <v>239</v>
      </c>
      <c r="B579" s="144" t="s">
        <v>310</v>
      </c>
      <c r="C579" s="47" t="s">
        <v>1142</v>
      </c>
      <c r="D579" s="47" t="s">
        <v>235</v>
      </c>
      <c r="E579" s="13" t="s">
        <v>1012</v>
      </c>
      <c r="F579" s="48" t="s">
        <v>240</v>
      </c>
      <c r="G579" s="146" t="s">
        <v>241</v>
      </c>
      <c r="H579" s="51">
        <v>7</v>
      </c>
      <c r="I579" s="49">
        <v>143864</v>
      </c>
      <c r="J579" s="49">
        <v>37131</v>
      </c>
      <c r="K579" s="50">
        <f t="shared" si="35"/>
        <v>0.2580979258188289</v>
      </c>
      <c r="L579" s="59">
        <v>41681</v>
      </c>
      <c r="M579" s="48" t="s">
        <v>238</v>
      </c>
      <c r="N579" s="145">
        <f>607106.08/143864</f>
        <v>4.22</v>
      </c>
      <c r="O579" s="141">
        <f t="shared" si="36"/>
        <v>0.06116064592863244</v>
      </c>
    </row>
    <row r="580" spans="1:17" ht="22.5">
      <c r="A580" s="46" t="s">
        <v>434</v>
      </c>
      <c r="B580" s="144" t="s">
        <v>310</v>
      </c>
      <c r="C580" s="47" t="s">
        <v>1142</v>
      </c>
      <c r="D580" s="47" t="s">
        <v>435</v>
      </c>
      <c r="E580" s="13" t="s">
        <v>1012</v>
      </c>
      <c r="F580" s="48" t="s">
        <v>240</v>
      </c>
      <c r="G580" s="47" t="s">
        <v>436</v>
      </c>
      <c r="H580" s="51">
        <v>7</v>
      </c>
      <c r="I580" s="49">
        <v>252229</v>
      </c>
      <c r="J580" s="49">
        <v>65100</v>
      </c>
      <c r="K580" s="50">
        <f t="shared" si="35"/>
        <v>0.2580987911778582</v>
      </c>
      <c r="L580" s="59">
        <v>41913</v>
      </c>
      <c r="M580" s="59">
        <v>41953</v>
      </c>
      <c r="N580" s="145">
        <f>1064406.38/252229</f>
        <v>4.22</v>
      </c>
      <c r="O580" s="141">
        <f t="shared" si="36"/>
        <v>0.0611608509900138</v>
      </c>
      <c r="P580" s="27"/>
      <c r="Q580" s="27"/>
    </row>
    <row r="581" spans="1:15" ht="33.75">
      <c r="A581" s="46" t="s">
        <v>234</v>
      </c>
      <c r="B581" s="144" t="s">
        <v>310</v>
      </c>
      <c r="C581" s="47" t="s">
        <v>1142</v>
      </c>
      <c r="D581" s="47" t="s">
        <v>235</v>
      </c>
      <c r="E581" s="13" t="s">
        <v>1012</v>
      </c>
      <c r="F581" s="48" t="s">
        <v>236</v>
      </c>
      <c r="G581" s="146" t="s">
        <v>237</v>
      </c>
      <c r="H581" s="51">
        <v>7</v>
      </c>
      <c r="I581" s="49">
        <v>200008</v>
      </c>
      <c r="J581" s="49">
        <v>51622</v>
      </c>
      <c r="K581" s="50">
        <f t="shared" si="35"/>
        <v>0.25809967601295947</v>
      </c>
      <c r="L581" s="59">
        <v>41681</v>
      </c>
      <c r="M581" s="48" t="s">
        <v>238</v>
      </c>
      <c r="N581" s="145">
        <f>844033.76/200008</f>
        <v>4.22</v>
      </c>
      <c r="O581" s="141">
        <f t="shared" si="36"/>
        <v>0.061161060666578074</v>
      </c>
    </row>
    <row r="582" spans="1:17" ht="22.5">
      <c r="A582" s="46" t="s">
        <v>654</v>
      </c>
      <c r="B582" s="144" t="s">
        <v>310</v>
      </c>
      <c r="C582" s="47" t="s">
        <v>1142</v>
      </c>
      <c r="D582" s="47" t="s">
        <v>581</v>
      </c>
      <c r="E582" s="13" t="s">
        <v>1012</v>
      </c>
      <c r="F582" s="48" t="s">
        <v>240</v>
      </c>
      <c r="G582" s="47" t="s">
        <v>655</v>
      </c>
      <c r="H582" s="51">
        <v>7</v>
      </c>
      <c r="I582" s="49">
        <v>100001</v>
      </c>
      <c r="J582" s="49">
        <v>27130</v>
      </c>
      <c r="K582" s="50">
        <f t="shared" si="35"/>
        <v>0.27129728702712974</v>
      </c>
      <c r="L582" s="59">
        <v>41906</v>
      </c>
      <c r="M582" s="59">
        <v>41942</v>
      </c>
      <c r="N582" s="145">
        <f>422004.22/100001</f>
        <v>4.22</v>
      </c>
      <c r="O582" s="141">
        <f t="shared" si="36"/>
        <v>0.06428845664149994</v>
      </c>
      <c r="P582" s="27"/>
      <c r="Q582" s="27"/>
    </row>
    <row r="583" spans="1:17" ht="22.5">
      <c r="A583" s="46" t="s">
        <v>650</v>
      </c>
      <c r="B583" s="144" t="s">
        <v>310</v>
      </c>
      <c r="C583" s="47" t="s">
        <v>1142</v>
      </c>
      <c r="D583" s="47" t="s">
        <v>581</v>
      </c>
      <c r="E583" s="13" t="s">
        <v>1012</v>
      </c>
      <c r="F583" s="48" t="s">
        <v>240</v>
      </c>
      <c r="G583" s="47" t="s">
        <v>651</v>
      </c>
      <c r="H583" s="51">
        <v>7</v>
      </c>
      <c r="I583" s="49">
        <v>300001</v>
      </c>
      <c r="J583" s="49">
        <v>81390</v>
      </c>
      <c r="K583" s="50">
        <f t="shared" si="35"/>
        <v>0.2712990956696811</v>
      </c>
      <c r="L583" s="59">
        <v>41906</v>
      </c>
      <c r="M583" s="59">
        <v>41942</v>
      </c>
      <c r="N583" s="145">
        <f>1266004.22/300001</f>
        <v>4.22</v>
      </c>
      <c r="O583" s="141">
        <f t="shared" si="36"/>
        <v>0.06428888522978225</v>
      </c>
      <c r="P583" s="27"/>
      <c r="Q583" s="27"/>
    </row>
    <row r="584" spans="1:17" ht="33.75">
      <c r="A584" s="46" t="s">
        <v>580</v>
      </c>
      <c r="B584" s="13" t="s">
        <v>310</v>
      </c>
      <c r="C584" s="13" t="s">
        <v>1142</v>
      </c>
      <c r="D584" s="47" t="s">
        <v>581</v>
      </c>
      <c r="E584" s="13" t="s">
        <v>1012</v>
      </c>
      <c r="F584" s="48" t="s">
        <v>236</v>
      </c>
      <c r="G584" s="47" t="s">
        <v>582</v>
      </c>
      <c r="H584" s="51">
        <v>7</v>
      </c>
      <c r="I584" s="49">
        <v>350000</v>
      </c>
      <c r="J584" s="49">
        <v>94955</v>
      </c>
      <c r="K584" s="50">
        <f t="shared" si="35"/>
        <v>0.2713</v>
      </c>
      <c r="L584" s="59">
        <v>41900</v>
      </c>
      <c r="M584" s="59">
        <v>41935</v>
      </c>
      <c r="N584" s="145">
        <f>1477000/350000</f>
        <v>4.22</v>
      </c>
      <c r="O584" s="141">
        <f t="shared" si="36"/>
        <v>0.06428909952606635</v>
      </c>
      <c r="P584" s="27"/>
      <c r="Q584" s="27"/>
    </row>
    <row r="585" spans="1:17" ht="22.5">
      <c r="A585" s="46" t="s">
        <v>652</v>
      </c>
      <c r="B585" s="13" t="s">
        <v>310</v>
      </c>
      <c r="C585" s="13" t="s">
        <v>1142</v>
      </c>
      <c r="D585" s="47" t="s">
        <v>581</v>
      </c>
      <c r="E585" s="13" t="s">
        <v>1012</v>
      </c>
      <c r="F585" s="48" t="s">
        <v>240</v>
      </c>
      <c r="G585" s="47" t="s">
        <v>653</v>
      </c>
      <c r="H585" s="51">
        <v>7</v>
      </c>
      <c r="I585" s="49">
        <v>250000</v>
      </c>
      <c r="J585" s="49">
        <v>67825</v>
      </c>
      <c r="K585" s="50">
        <f t="shared" si="35"/>
        <v>0.2713</v>
      </c>
      <c r="L585" s="59">
        <v>41906</v>
      </c>
      <c r="M585" s="59">
        <v>41942</v>
      </c>
      <c r="N585" s="145">
        <f>1055000/250000</f>
        <v>4.22</v>
      </c>
      <c r="O585" s="147">
        <f t="shared" si="36"/>
        <v>0.06428909952606635</v>
      </c>
      <c r="P585" s="27"/>
      <c r="Q585" s="27"/>
    </row>
    <row r="586" spans="1:17" ht="22.5">
      <c r="A586" s="46" t="s">
        <v>656</v>
      </c>
      <c r="B586" s="13" t="s">
        <v>310</v>
      </c>
      <c r="C586" s="13" t="s">
        <v>1142</v>
      </c>
      <c r="D586" s="47" t="s">
        <v>581</v>
      </c>
      <c r="E586" s="13" t="s">
        <v>1012</v>
      </c>
      <c r="F586" s="48" t="s">
        <v>240</v>
      </c>
      <c r="G586" s="47" t="s">
        <v>657</v>
      </c>
      <c r="H586" s="51">
        <v>7</v>
      </c>
      <c r="I586" s="49">
        <v>100000</v>
      </c>
      <c r="J586" s="49">
        <v>27130</v>
      </c>
      <c r="K586" s="50">
        <f t="shared" si="35"/>
        <v>0.2713</v>
      </c>
      <c r="L586" s="59">
        <v>41906</v>
      </c>
      <c r="M586" s="59">
        <v>41942</v>
      </c>
      <c r="N586" s="145">
        <f>422000/100000</f>
        <v>4.22</v>
      </c>
      <c r="O586" s="147">
        <f t="shared" si="36"/>
        <v>0.06428909952606635</v>
      </c>
      <c r="P586" s="27"/>
      <c r="Q586" s="27"/>
    </row>
    <row r="587" spans="1:17" ht="22.5">
      <c r="A587" s="46" t="s">
        <v>583</v>
      </c>
      <c r="B587" s="144" t="s">
        <v>310</v>
      </c>
      <c r="C587" s="47" t="s">
        <v>1142</v>
      </c>
      <c r="D587" s="47" t="s">
        <v>581</v>
      </c>
      <c r="E587" s="13" t="s">
        <v>1012</v>
      </c>
      <c r="F587" s="48" t="s">
        <v>240</v>
      </c>
      <c r="G587" s="47" t="s">
        <v>584</v>
      </c>
      <c r="H587" s="51">
        <v>7</v>
      </c>
      <c r="I587" s="49">
        <v>300002</v>
      </c>
      <c r="J587" s="49">
        <v>81391</v>
      </c>
      <c r="K587" s="50">
        <f t="shared" si="35"/>
        <v>0.2713015246565023</v>
      </c>
      <c r="L587" s="59">
        <v>41900</v>
      </c>
      <c r="M587" s="59">
        <v>41935</v>
      </c>
      <c r="N587" s="145">
        <f>1266008.44/300002</f>
        <v>4.22</v>
      </c>
      <c r="O587" s="147">
        <f t="shared" si="36"/>
        <v>0.06428946081907638</v>
      </c>
      <c r="P587" s="27"/>
      <c r="Q587" s="27"/>
    </row>
    <row r="588" spans="1:15" ht="22.5">
      <c r="A588" s="46" t="s">
        <v>1153</v>
      </c>
      <c r="B588" s="144" t="s">
        <v>310</v>
      </c>
      <c r="C588" s="47" t="s">
        <v>1142</v>
      </c>
      <c r="D588" s="47" t="s">
        <v>1143</v>
      </c>
      <c r="E588" s="13" t="s">
        <v>1012</v>
      </c>
      <c r="F588" s="48" t="s">
        <v>1008</v>
      </c>
      <c r="G588" s="47" t="s">
        <v>1154</v>
      </c>
      <c r="H588" s="51">
        <v>7</v>
      </c>
      <c r="I588" s="49">
        <v>57188</v>
      </c>
      <c r="J588" s="49">
        <v>14760</v>
      </c>
      <c r="K588" s="50">
        <f t="shared" si="35"/>
        <v>0.25809610407777855</v>
      </c>
      <c r="L588" s="48" t="s">
        <v>1155</v>
      </c>
      <c r="M588" s="59">
        <v>41715</v>
      </c>
      <c r="N588" s="145">
        <f>200286.42/52431</f>
        <v>3.8200000000000003</v>
      </c>
      <c r="O588" s="147">
        <f t="shared" si="36"/>
        <v>0.06756442515125093</v>
      </c>
    </row>
    <row r="589" spans="1:15" ht="22.5">
      <c r="A589" s="46" t="s">
        <v>1149</v>
      </c>
      <c r="B589" s="144" t="s">
        <v>310</v>
      </c>
      <c r="C589" s="47" t="s">
        <v>1142</v>
      </c>
      <c r="D589" s="47" t="s">
        <v>1143</v>
      </c>
      <c r="E589" s="13" t="s">
        <v>1012</v>
      </c>
      <c r="F589" s="48" t="s">
        <v>1008</v>
      </c>
      <c r="G589" s="47" t="s">
        <v>1150</v>
      </c>
      <c r="H589" s="51">
        <v>7</v>
      </c>
      <c r="I589" s="49">
        <v>149300</v>
      </c>
      <c r="J589" s="49">
        <v>38534</v>
      </c>
      <c r="K589" s="50">
        <f t="shared" si="35"/>
        <v>0.2580977896851976</v>
      </c>
      <c r="L589" s="59">
        <v>41676</v>
      </c>
      <c r="M589" s="48" t="s">
        <v>1145</v>
      </c>
      <c r="N589" s="145">
        <f>570310.72/149296</f>
        <v>3.82</v>
      </c>
      <c r="O589" s="147">
        <f t="shared" si="36"/>
        <v>0.06756486640973759</v>
      </c>
    </row>
    <row r="590" spans="1:15" ht="22.5">
      <c r="A590" s="46" t="s">
        <v>1141</v>
      </c>
      <c r="B590" s="144" t="s">
        <v>310</v>
      </c>
      <c r="C590" s="47" t="s">
        <v>1142</v>
      </c>
      <c r="D590" s="47" t="s">
        <v>1143</v>
      </c>
      <c r="E590" s="13" t="s">
        <v>1012</v>
      </c>
      <c r="F590" s="48" t="s">
        <v>1008</v>
      </c>
      <c r="G590" s="47" t="s">
        <v>1144</v>
      </c>
      <c r="H590" s="51">
        <v>7</v>
      </c>
      <c r="I590" s="49">
        <v>300001</v>
      </c>
      <c r="J590" s="49">
        <v>77430</v>
      </c>
      <c r="K590" s="50">
        <f t="shared" si="35"/>
        <v>0.25809913966953446</v>
      </c>
      <c r="L590" s="59">
        <v>41676</v>
      </c>
      <c r="M590" s="48" t="s">
        <v>1145</v>
      </c>
      <c r="N590" s="145">
        <f>1145996.18/299999</f>
        <v>3.82</v>
      </c>
      <c r="O590" s="147">
        <f t="shared" si="36"/>
        <v>0.06756521980877865</v>
      </c>
    </row>
    <row r="591" spans="1:15" ht="22.5">
      <c r="A591" s="46" t="s">
        <v>1146</v>
      </c>
      <c r="B591" s="144" t="s">
        <v>310</v>
      </c>
      <c r="C591" s="47" t="s">
        <v>1142</v>
      </c>
      <c r="D591" s="47" t="s">
        <v>1143</v>
      </c>
      <c r="E591" s="13" t="s">
        <v>1012</v>
      </c>
      <c r="F591" s="48" t="s">
        <v>1008</v>
      </c>
      <c r="G591" s="47" t="s">
        <v>1147</v>
      </c>
      <c r="H591" s="51">
        <v>7</v>
      </c>
      <c r="I591" s="49">
        <v>249956</v>
      </c>
      <c r="J591" s="49">
        <v>64514</v>
      </c>
      <c r="K591" s="50">
        <f t="shared" si="35"/>
        <v>0.25810142585094975</v>
      </c>
      <c r="L591" s="48" t="s">
        <v>1148</v>
      </c>
      <c r="M591" s="48" t="s">
        <v>1145</v>
      </c>
      <c r="N591" s="145">
        <f>954831.92/249956</f>
        <v>3.8200000000000003</v>
      </c>
      <c r="O591" s="147">
        <f t="shared" si="36"/>
        <v>0.06756581828558894</v>
      </c>
    </row>
    <row r="592" spans="1:15" ht="22.5">
      <c r="A592" s="46" t="s">
        <v>1151</v>
      </c>
      <c r="B592" s="144" t="s">
        <v>310</v>
      </c>
      <c r="C592" s="47" t="s">
        <v>1142</v>
      </c>
      <c r="D592" s="47" t="s">
        <v>1143</v>
      </c>
      <c r="E592" s="13" t="s">
        <v>1012</v>
      </c>
      <c r="F592" s="48" t="s">
        <v>1008</v>
      </c>
      <c r="G592" s="47" t="s">
        <v>1152</v>
      </c>
      <c r="H592" s="51">
        <v>7</v>
      </c>
      <c r="I592" s="49">
        <v>99971</v>
      </c>
      <c r="J592" s="49">
        <v>25803</v>
      </c>
      <c r="K592" s="50">
        <f t="shared" si="35"/>
        <v>0.2581048504066179</v>
      </c>
      <c r="L592" s="48" t="s">
        <v>1148</v>
      </c>
      <c r="M592" s="48" t="s">
        <v>1145</v>
      </c>
      <c r="N592" s="145">
        <f>381889.22/99971</f>
        <v>3.82</v>
      </c>
      <c r="O592" s="147">
        <f t="shared" si="36"/>
        <v>0.06756671476613034</v>
      </c>
    </row>
    <row r="593" spans="1:17" ht="22.5">
      <c r="A593" s="46" t="s">
        <v>957</v>
      </c>
      <c r="B593" s="13" t="s">
        <v>308</v>
      </c>
      <c r="C593" s="47" t="s">
        <v>1047</v>
      </c>
      <c r="D593" s="47" t="s">
        <v>958</v>
      </c>
      <c r="E593" s="13" t="s">
        <v>1012</v>
      </c>
      <c r="F593" s="48" t="s">
        <v>1006</v>
      </c>
      <c r="G593" s="47" t="s">
        <v>959</v>
      </c>
      <c r="H593" s="51">
        <v>10</v>
      </c>
      <c r="I593" s="49">
        <v>228000</v>
      </c>
      <c r="J593" s="49">
        <v>64539</v>
      </c>
      <c r="K593" s="50">
        <f t="shared" si="35"/>
        <v>0.2830657894736842</v>
      </c>
      <c r="L593" s="59">
        <v>41668</v>
      </c>
      <c r="M593" s="59" t="s">
        <v>960</v>
      </c>
      <c r="N593" s="145">
        <f>1297320/228000</f>
        <v>5.69</v>
      </c>
      <c r="O593" s="141">
        <f t="shared" si="36"/>
        <v>0.04974794191101656</v>
      </c>
      <c r="P593" s="27"/>
      <c r="Q593" s="27"/>
    </row>
    <row r="594" spans="1:15" ht="33.75">
      <c r="A594" s="46" t="s">
        <v>245</v>
      </c>
      <c r="B594" s="13" t="s">
        <v>308</v>
      </c>
      <c r="C594" s="13" t="s">
        <v>246</v>
      </c>
      <c r="D594" s="47" t="s">
        <v>247</v>
      </c>
      <c r="E594" s="13" t="s">
        <v>1012</v>
      </c>
      <c r="F594" s="48" t="s">
        <v>248</v>
      </c>
      <c r="G594" s="47" t="s">
        <v>249</v>
      </c>
      <c r="H594" s="51">
        <v>10</v>
      </c>
      <c r="I594" s="49">
        <v>8148000</v>
      </c>
      <c r="J594" s="49">
        <v>429198</v>
      </c>
      <c r="K594" s="50">
        <f t="shared" si="35"/>
        <v>0.05267525773195876</v>
      </c>
      <c r="L594" s="48" t="s">
        <v>250</v>
      </c>
      <c r="M594" s="48" t="s">
        <v>251</v>
      </c>
      <c r="N594" s="145">
        <f>8636880/8148000</f>
        <v>1.06</v>
      </c>
      <c r="O594" s="141">
        <f t="shared" si="36"/>
        <v>0.04969363936977241</v>
      </c>
    </row>
    <row r="595" spans="1:15" ht="22.5">
      <c r="A595" s="46" t="s">
        <v>252</v>
      </c>
      <c r="B595" s="144" t="s">
        <v>308</v>
      </c>
      <c r="C595" s="47" t="s">
        <v>246</v>
      </c>
      <c r="D595" s="47" t="s">
        <v>247</v>
      </c>
      <c r="E595" s="13" t="s">
        <v>1012</v>
      </c>
      <c r="F595" s="48" t="s">
        <v>1006</v>
      </c>
      <c r="G595" s="47" t="s">
        <v>253</v>
      </c>
      <c r="H595" s="51">
        <v>10</v>
      </c>
      <c r="I595" s="49">
        <v>2028800</v>
      </c>
      <c r="J595" s="49">
        <v>106868</v>
      </c>
      <c r="K595" s="50">
        <f t="shared" si="35"/>
        <v>0.05267547318611988</v>
      </c>
      <c r="L595" s="59">
        <v>41801</v>
      </c>
      <c r="M595" s="48" t="s">
        <v>251</v>
      </c>
      <c r="N595" s="145">
        <f>1988224/2028800</f>
        <v>0.98</v>
      </c>
      <c r="O595" s="141">
        <f t="shared" si="36"/>
        <v>0.053750482842979466</v>
      </c>
    </row>
    <row r="596" spans="1:17" ht="22.5">
      <c r="A596" s="46" t="s">
        <v>705</v>
      </c>
      <c r="B596" s="144" t="s">
        <v>310</v>
      </c>
      <c r="C596" s="47" t="s">
        <v>1010</v>
      </c>
      <c r="D596" s="47" t="s">
        <v>706</v>
      </c>
      <c r="E596" s="13" t="s">
        <v>1012</v>
      </c>
      <c r="F596" s="48" t="s">
        <v>1107</v>
      </c>
      <c r="G596" s="47" t="s">
        <v>707</v>
      </c>
      <c r="H596" s="48">
        <v>10</v>
      </c>
      <c r="I596" s="49">
        <v>6781961</v>
      </c>
      <c r="J596" s="49">
        <v>2006000</v>
      </c>
      <c r="K596" s="50">
        <f t="shared" si="35"/>
        <v>0.2957846557949832</v>
      </c>
      <c r="L596" s="59">
        <v>41717</v>
      </c>
      <c r="M596" s="59" t="s">
        <v>708</v>
      </c>
      <c r="N596" s="145">
        <f>27035639/6781961</f>
        <v>3.9864043747818663</v>
      </c>
      <c r="O596" s="141">
        <f t="shared" si="36"/>
        <v>0.07419835721286262</v>
      </c>
      <c r="P596" s="27"/>
      <c r="Q596" s="27"/>
    </row>
    <row r="597" spans="1:15" ht="12" customHeight="1">
      <c r="A597" s="46" t="s">
        <v>1028</v>
      </c>
      <c r="B597" s="144" t="s">
        <v>310</v>
      </c>
      <c r="C597" s="47" t="s">
        <v>1010</v>
      </c>
      <c r="D597" s="47" t="s">
        <v>1029</v>
      </c>
      <c r="E597" s="13" t="s">
        <v>1012</v>
      </c>
      <c r="F597" s="48" t="s">
        <v>1008</v>
      </c>
      <c r="G597" s="47" t="s">
        <v>1053</v>
      </c>
      <c r="H597" s="48">
        <v>10</v>
      </c>
      <c r="I597" s="49">
        <v>1664400</v>
      </c>
      <c r="J597" s="60">
        <v>500984.4</v>
      </c>
      <c r="K597" s="50">
        <f t="shared" si="35"/>
        <v>0.301</v>
      </c>
      <c r="L597" s="48" t="s">
        <v>1030</v>
      </c>
      <c r="M597" s="59">
        <v>41771</v>
      </c>
      <c r="N597" s="145">
        <f>5523750/1664400</f>
        <v>3.3187635183850035</v>
      </c>
      <c r="O597" s="147">
        <f t="shared" si="36"/>
        <v>0.09069642905634759</v>
      </c>
    </row>
    <row r="598" spans="1:17" ht="33.75">
      <c r="A598" s="46" t="s">
        <v>847</v>
      </c>
      <c r="B598" s="13" t="s">
        <v>310</v>
      </c>
      <c r="C598" s="13" t="s">
        <v>1010</v>
      </c>
      <c r="D598" s="47" t="s">
        <v>848</v>
      </c>
      <c r="E598" s="13" t="s">
        <v>1012</v>
      </c>
      <c r="F598" s="48" t="s">
        <v>1098</v>
      </c>
      <c r="G598" s="47" t="s">
        <v>849</v>
      </c>
      <c r="H598" s="48">
        <v>10</v>
      </c>
      <c r="I598" s="49">
        <v>870002</v>
      </c>
      <c r="J598" s="49">
        <v>250560.58</v>
      </c>
      <c r="K598" s="50">
        <f t="shared" si="35"/>
        <v>0.28800000459769054</v>
      </c>
      <c r="L598" s="59">
        <v>41696</v>
      </c>
      <c r="M598" s="59" t="s">
        <v>844</v>
      </c>
      <c r="N598" s="145">
        <f>4338525.97/870002</f>
        <v>4.986799995862079</v>
      </c>
      <c r="O598" s="141">
        <f t="shared" si="36"/>
        <v>0.057752467481484264</v>
      </c>
      <c r="P598" s="27"/>
      <c r="Q598" s="27"/>
    </row>
    <row r="599" spans="1:15" ht="33.75">
      <c r="A599" s="46" t="s">
        <v>296</v>
      </c>
      <c r="B599" s="144" t="s">
        <v>308</v>
      </c>
      <c r="C599" s="47" t="s">
        <v>145</v>
      </c>
      <c r="D599" s="47" t="s">
        <v>297</v>
      </c>
      <c r="E599" s="13" t="s">
        <v>1012</v>
      </c>
      <c r="F599" s="48" t="s">
        <v>1008</v>
      </c>
      <c r="G599" s="47" t="s">
        <v>298</v>
      </c>
      <c r="H599" s="51">
        <v>10</v>
      </c>
      <c r="I599" s="49">
        <v>64133</v>
      </c>
      <c r="J599" s="49">
        <v>23700</v>
      </c>
      <c r="K599" s="50">
        <f t="shared" si="35"/>
        <v>0.3695445402522882</v>
      </c>
      <c r="L599" s="48" t="s">
        <v>299</v>
      </c>
      <c r="M599" s="48" t="s">
        <v>300</v>
      </c>
      <c r="N599" s="145">
        <f>674551.66/64133</f>
        <v>10.518011943929023</v>
      </c>
      <c r="O599" s="141">
        <f t="shared" si="36"/>
        <v>0.035134447671509694</v>
      </c>
    </row>
    <row r="600" spans="3:11" ht="11.25">
      <c r="C600" s="2"/>
      <c r="D600" s="2"/>
      <c r="E600" s="2"/>
      <c r="F600" s="24"/>
      <c r="G600" s="2"/>
      <c r="H600" s="24"/>
      <c r="I600" s="24"/>
      <c r="J600" s="24"/>
      <c r="K600" s="2"/>
    </row>
    <row r="601" spans="3:11" ht="11.25">
      <c r="C601" s="2"/>
      <c r="D601" s="2"/>
      <c r="E601" s="2"/>
      <c r="F601" s="24"/>
      <c r="G601" s="2"/>
      <c r="H601" s="24"/>
      <c r="I601" s="24"/>
      <c r="J601" s="24"/>
      <c r="K601" s="2"/>
    </row>
    <row r="602" spans="3:11" ht="11.25">
      <c r="C602" s="2"/>
      <c r="D602" s="2"/>
      <c r="E602" s="2"/>
      <c r="F602" s="24"/>
      <c r="G602" s="2"/>
      <c r="H602" s="24"/>
      <c r="I602" s="24"/>
      <c r="J602" s="24"/>
      <c r="K602" s="2"/>
    </row>
    <row r="603" spans="3:11" ht="11.25">
      <c r="C603" s="2"/>
      <c r="D603" s="2"/>
      <c r="E603" s="2"/>
      <c r="F603" s="24"/>
      <c r="G603" s="2"/>
      <c r="H603" s="24"/>
      <c r="I603" s="24"/>
      <c r="J603" s="24"/>
      <c r="K603" s="2"/>
    </row>
    <row r="604" spans="3:11" ht="11.25">
      <c r="C604" s="2"/>
      <c r="D604" s="2"/>
      <c r="E604" s="2"/>
      <c r="F604" s="24"/>
      <c r="G604" s="2"/>
      <c r="H604" s="24"/>
      <c r="I604" s="24"/>
      <c r="J604" s="24"/>
      <c r="K604" s="2"/>
    </row>
    <row r="605" spans="1:11" ht="21" thickBot="1">
      <c r="A605" s="39" t="s">
        <v>792</v>
      </c>
      <c r="C605" s="2"/>
      <c r="D605" s="2"/>
      <c r="E605" s="2"/>
      <c r="F605" s="24"/>
      <c r="G605" s="2"/>
      <c r="H605" s="24"/>
      <c r="I605" s="24"/>
      <c r="J605" s="24"/>
      <c r="K605" s="2"/>
    </row>
    <row r="606" spans="1:15" ht="33.75">
      <c r="A606" s="9"/>
      <c r="B606" s="10" t="s">
        <v>123</v>
      </c>
      <c r="C606" s="10" t="s">
        <v>304</v>
      </c>
      <c r="D606" s="10" t="s">
        <v>1004</v>
      </c>
      <c r="E606" s="10" t="s">
        <v>1013</v>
      </c>
      <c r="F606" s="10" t="s">
        <v>1005</v>
      </c>
      <c r="G606" s="10" t="s">
        <v>1014</v>
      </c>
      <c r="H606" s="10" t="s">
        <v>1016</v>
      </c>
      <c r="I606" s="10" t="s">
        <v>1003</v>
      </c>
      <c r="J606" s="10" t="s">
        <v>1018</v>
      </c>
      <c r="K606" s="10" t="s">
        <v>1007</v>
      </c>
      <c r="L606" s="10" t="s">
        <v>1019</v>
      </c>
      <c r="M606" s="10" t="s">
        <v>1020</v>
      </c>
      <c r="N606" s="32" t="s">
        <v>1051</v>
      </c>
      <c r="O606" s="33" t="s">
        <v>1052</v>
      </c>
    </row>
    <row r="607" spans="1:15" s="101" customFormat="1" ht="45">
      <c r="A607" s="6" t="s">
        <v>1065</v>
      </c>
      <c r="B607" s="13" t="s">
        <v>309</v>
      </c>
      <c r="C607" s="13" t="s">
        <v>1058</v>
      </c>
      <c r="D607" s="13" t="s">
        <v>1066</v>
      </c>
      <c r="E607" s="13" t="s">
        <v>1012</v>
      </c>
      <c r="F607" s="3" t="s">
        <v>1008</v>
      </c>
      <c r="G607" s="13" t="s">
        <v>1067</v>
      </c>
      <c r="H607" s="36">
        <v>3</v>
      </c>
      <c r="I607" s="15">
        <v>24000</v>
      </c>
      <c r="J607" s="15">
        <v>1100</v>
      </c>
      <c r="K607" s="26">
        <f aca="true" t="shared" si="37" ref="K607:K630">J607/I607</f>
        <v>0.04583333333333333</v>
      </c>
      <c r="L607" s="136">
        <v>41733</v>
      </c>
      <c r="M607" s="3" t="s">
        <v>1061</v>
      </c>
      <c r="N607" s="143">
        <f>34080/24000</f>
        <v>1.42</v>
      </c>
      <c r="O607" s="137">
        <f aca="true" t="shared" si="38" ref="O607:O630">K607/N607</f>
        <v>0.03227699530516432</v>
      </c>
    </row>
    <row r="608" spans="1:15" s="101" customFormat="1" ht="45">
      <c r="A608" s="6" t="s">
        <v>1062</v>
      </c>
      <c r="B608" s="13" t="s">
        <v>309</v>
      </c>
      <c r="C608" s="13" t="s">
        <v>1058</v>
      </c>
      <c r="D608" s="13" t="s">
        <v>1063</v>
      </c>
      <c r="E608" s="13" t="s">
        <v>1012</v>
      </c>
      <c r="F608" s="3" t="s">
        <v>1008</v>
      </c>
      <c r="G608" s="13" t="s">
        <v>1064</v>
      </c>
      <c r="H608" s="36">
        <v>3</v>
      </c>
      <c r="I608" s="15">
        <v>112000</v>
      </c>
      <c r="J608" s="15">
        <v>5140</v>
      </c>
      <c r="K608" s="26">
        <f t="shared" si="37"/>
        <v>0.045892857142857145</v>
      </c>
      <c r="L608" s="136">
        <v>41733</v>
      </c>
      <c r="M608" s="3" t="s">
        <v>1061</v>
      </c>
      <c r="N608" s="143">
        <f>159040/112000</f>
        <v>1.42</v>
      </c>
      <c r="O608" s="137">
        <f t="shared" si="38"/>
        <v>0.032318913480885315</v>
      </c>
    </row>
    <row r="609" spans="1:15" s="101" customFormat="1" ht="56.25">
      <c r="A609" s="6" t="s">
        <v>1057</v>
      </c>
      <c r="B609" s="13" t="s">
        <v>309</v>
      </c>
      <c r="C609" s="13" t="s">
        <v>1058</v>
      </c>
      <c r="D609" s="13" t="s">
        <v>1059</v>
      </c>
      <c r="E609" s="13" t="s">
        <v>1012</v>
      </c>
      <c r="F609" s="3" t="s">
        <v>1036</v>
      </c>
      <c r="G609" s="13" t="s">
        <v>1060</v>
      </c>
      <c r="H609" s="36">
        <v>3</v>
      </c>
      <c r="I609" s="15">
        <v>222309</v>
      </c>
      <c r="J609" s="15">
        <v>10358</v>
      </c>
      <c r="K609" s="26">
        <f t="shared" si="37"/>
        <v>0.04659280550944856</v>
      </c>
      <c r="L609" s="136">
        <v>41733</v>
      </c>
      <c r="M609" s="3" t="s">
        <v>1061</v>
      </c>
      <c r="N609" s="143">
        <f>306786.42/222309</f>
        <v>1.38</v>
      </c>
      <c r="O609" s="137">
        <f t="shared" si="38"/>
        <v>0.03376290254307867</v>
      </c>
    </row>
    <row r="610" spans="1:15" s="101" customFormat="1" ht="22.5">
      <c r="A610" s="6" t="s">
        <v>151</v>
      </c>
      <c r="B610" s="13" t="s">
        <v>309</v>
      </c>
      <c r="C610" s="13" t="s">
        <v>152</v>
      </c>
      <c r="D610" s="13" t="s">
        <v>153</v>
      </c>
      <c r="E610" s="13" t="s">
        <v>1012</v>
      </c>
      <c r="F610" s="3" t="s">
        <v>154</v>
      </c>
      <c r="G610" s="13" t="s">
        <v>155</v>
      </c>
      <c r="H610" s="36">
        <v>5</v>
      </c>
      <c r="I610" s="15">
        <v>1124236</v>
      </c>
      <c r="J610" s="15">
        <v>50366</v>
      </c>
      <c r="K610" s="26">
        <f t="shared" si="37"/>
        <v>0.04480020209279902</v>
      </c>
      <c r="L610" s="136">
        <v>41737</v>
      </c>
      <c r="M610" s="136" t="s">
        <v>156</v>
      </c>
      <c r="N610" s="143">
        <f>4541913.44/1124236</f>
        <v>4.04</v>
      </c>
      <c r="O610" s="137">
        <f t="shared" si="38"/>
        <v>0.011089158933861145</v>
      </c>
    </row>
    <row r="611" spans="1:15" s="101" customFormat="1" ht="22.5">
      <c r="A611" s="6" t="s">
        <v>157</v>
      </c>
      <c r="B611" s="13" t="s">
        <v>309</v>
      </c>
      <c r="C611" s="13" t="s">
        <v>152</v>
      </c>
      <c r="D611" s="13" t="s">
        <v>153</v>
      </c>
      <c r="E611" s="13" t="s">
        <v>1012</v>
      </c>
      <c r="F611" s="3" t="s">
        <v>154</v>
      </c>
      <c r="G611" s="13" t="s">
        <v>158</v>
      </c>
      <c r="H611" s="36">
        <v>5</v>
      </c>
      <c r="I611" s="15">
        <v>771390</v>
      </c>
      <c r="J611" s="15">
        <v>35638</v>
      </c>
      <c r="K611" s="26">
        <f t="shared" si="37"/>
        <v>0.04619971739327707</v>
      </c>
      <c r="L611" s="136">
        <v>41737</v>
      </c>
      <c r="M611" s="136">
        <v>41778</v>
      </c>
      <c r="N611" s="143">
        <f>2838715.2/771390</f>
        <v>3.68</v>
      </c>
      <c r="O611" s="137">
        <f t="shared" si="38"/>
        <v>0.012554271030781812</v>
      </c>
    </row>
    <row r="612" spans="1:15" s="101" customFormat="1" ht="22.5">
      <c r="A612" s="6" t="s">
        <v>557</v>
      </c>
      <c r="B612" s="13" t="s">
        <v>309</v>
      </c>
      <c r="C612" s="13" t="s">
        <v>152</v>
      </c>
      <c r="D612" s="13" t="s">
        <v>153</v>
      </c>
      <c r="E612" s="13" t="s">
        <v>1012</v>
      </c>
      <c r="F612" s="3" t="s">
        <v>154</v>
      </c>
      <c r="G612" s="13" t="s">
        <v>558</v>
      </c>
      <c r="H612" s="36">
        <v>5</v>
      </c>
      <c r="I612" s="15">
        <v>1326519</v>
      </c>
      <c r="J612" s="15">
        <v>57777</v>
      </c>
      <c r="K612" s="26">
        <f t="shared" si="37"/>
        <v>0.04355535050760675</v>
      </c>
      <c r="L612" s="136" t="s">
        <v>405</v>
      </c>
      <c r="M612" s="3" t="s">
        <v>486</v>
      </c>
      <c r="N612" s="18">
        <f>4258125.99/1326519</f>
        <v>3.21</v>
      </c>
      <c r="O612" s="16">
        <f t="shared" si="38"/>
        <v>0.013568645017946027</v>
      </c>
    </row>
    <row r="613" spans="1:15" s="101" customFormat="1" ht="22.5">
      <c r="A613" s="6" t="s">
        <v>563</v>
      </c>
      <c r="B613" s="13" t="s">
        <v>309</v>
      </c>
      <c r="C613" s="13" t="s">
        <v>152</v>
      </c>
      <c r="D613" s="13" t="s">
        <v>153</v>
      </c>
      <c r="E613" s="13" t="s">
        <v>1012</v>
      </c>
      <c r="F613" s="3" t="s">
        <v>154</v>
      </c>
      <c r="G613" s="13" t="s">
        <v>564</v>
      </c>
      <c r="H613" s="36">
        <v>5</v>
      </c>
      <c r="I613" s="15">
        <v>1912822</v>
      </c>
      <c r="J613" s="15">
        <v>83314</v>
      </c>
      <c r="K613" s="26">
        <f t="shared" si="37"/>
        <v>0.04355554254394815</v>
      </c>
      <c r="L613" s="136" t="s">
        <v>405</v>
      </c>
      <c r="M613" s="3" t="s">
        <v>486</v>
      </c>
      <c r="N613" s="18">
        <f>6140158.62/1912822</f>
        <v>3.21</v>
      </c>
      <c r="O613" s="16">
        <f t="shared" si="38"/>
        <v>0.01356870484235145</v>
      </c>
    </row>
    <row r="614" spans="1:15" s="101" customFormat="1" ht="22.5">
      <c r="A614" s="6" t="s">
        <v>561</v>
      </c>
      <c r="B614" s="13" t="s">
        <v>309</v>
      </c>
      <c r="C614" s="13" t="s">
        <v>152</v>
      </c>
      <c r="D614" s="13" t="s">
        <v>153</v>
      </c>
      <c r="E614" s="13" t="s">
        <v>1012</v>
      </c>
      <c r="F614" s="3" t="s">
        <v>154</v>
      </c>
      <c r="G614" s="13" t="s">
        <v>562</v>
      </c>
      <c r="H614" s="36">
        <v>5</v>
      </c>
      <c r="I614" s="15">
        <v>631401</v>
      </c>
      <c r="J614" s="15">
        <v>30485</v>
      </c>
      <c r="K614" s="26">
        <f t="shared" si="37"/>
        <v>0.048281519984922416</v>
      </c>
      <c r="L614" s="136" t="s">
        <v>405</v>
      </c>
      <c r="M614" s="3" t="s">
        <v>486</v>
      </c>
      <c r="N614" s="18">
        <f>2026797.21/631401</f>
        <v>3.21</v>
      </c>
      <c r="O614" s="16">
        <f t="shared" si="38"/>
        <v>0.015040971957919756</v>
      </c>
    </row>
    <row r="615" spans="1:15" s="101" customFormat="1" ht="22.5">
      <c r="A615" s="6" t="s">
        <v>572</v>
      </c>
      <c r="B615" s="13" t="s">
        <v>309</v>
      </c>
      <c r="C615" s="13" t="s">
        <v>152</v>
      </c>
      <c r="D615" s="13" t="s">
        <v>153</v>
      </c>
      <c r="E615" s="13" t="s">
        <v>1012</v>
      </c>
      <c r="F615" s="3" t="s">
        <v>154</v>
      </c>
      <c r="G615" s="13" t="s">
        <v>573</v>
      </c>
      <c r="H615" s="36">
        <v>5</v>
      </c>
      <c r="I615" s="15">
        <v>557402</v>
      </c>
      <c r="J615" s="15">
        <v>27058</v>
      </c>
      <c r="K615" s="26">
        <f t="shared" si="37"/>
        <v>0.04854306227821213</v>
      </c>
      <c r="L615" s="136">
        <v>41899</v>
      </c>
      <c r="M615" s="3" t="s">
        <v>486</v>
      </c>
      <c r="N615" s="18">
        <f>1789260.42/557402</f>
        <v>3.21</v>
      </c>
      <c r="O615" s="16">
        <f t="shared" si="38"/>
        <v>0.015122449307854247</v>
      </c>
    </row>
    <row r="616" spans="1:15" s="101" customFormat="1" ht="22.5">
      <c r="A616" s="6" t="s">
        <v>559</v>
      </c>
      <c r="B616" s="13" t="s">
        <v>309</v>
      </c>
      <c r="C616" s="13" t="s">
        <v>152</v>
      </c>
      <c r="D616" s="13" t="s">
        <v>153</v>
      </c>
      <c r="E616" s="13" t="s">
        <v>1012</v>
      </c>
      <c r="F616" s="3" t="s">
        <v>154</v>
      </c>
      <c r="G616" s="13" t="s">
        <v>560</v>
      </c>
      <c r="H616" s="36">
        <v>5</v>
      </c>
      <c r="I616" s="15">
        <v>437001</v>
      </c>
      <c r="J616" s="15">
        <v>21752</v>
      </c>
      <c r="K616" s="26">
        <f t="shared" si="37"/>
        <v>0.04977562980405079</v>
      </c>
      <c r="L616" s="136" t="s">
        <v>405</v>
      </c>
      <c r="M616" s="3" t="s">
        <v>486</v>
      </c>
      <c r="N616" s="18">
        <f>1402773.21/437001</f>
        <v>3.21</v>
      </c>
      <c r="O616" s="16">
        <f t="shared" si="38"/>
        <v>0.015506426730233893</v>
      </c>
    </row>
    <row r="617" spans="1:15" s="101" customFormat="1" ht="22.5">
      <c r="A617" s="6" t="s">
        <v>570</v>
      </c>
      <c r="B617" s="13" t="s">
        <v>309</v>
      </c>
      <c r="C617" s="13" t="s">
        <v>152</v>
      </c>
      <c r="D617" s="13" t="s">
        <v>153</v>
      </c>
      <c r="E617" s="13" t="s">
        <v>1012</v>
      </c>
      <c r="F617" s="3" t="s">
        <v>154</v>
      </c>
      <c r="G617" s="13" t="s">
        <v>571</v>
      </c>
      <c r="H617" s="36">
        <v>5</v>
      </c>
      <c r="I617" s="15">
        <v>854602</v>
      </c>
      <c r="J617" s="15">
        <v>45497</v>
      </c>
      <c r="K617" s="26">
        <f t="shared" si="37"/>
        <v>0.05323764746630595</v>
      </c>
      <c r="L617" s="136">
        <v>41899</v>
      </c>
      <c r="M617" s="3" t="s">
        <v>486</v>
      </c>
      <c r="N617" s="18">
        <f>2743272.42/854602</f>
        <v>3.21</v>
      </c>
      <c r="O617" s="16">
        <f t="shared" si="38"/>
        <v>0.016584936905391263</v>
      </c>
    </row>
    <row r="618" spans="1:15" s="101" customFormat="1" ht="33.75">
      <c r="A618" s="6" t="s">
        <v>23</v>
      </c>
      <c r="B618" s="13" t="s">
        <v>309</v>
      </c>
      <c r="C618" s="13" t="s">
        <v>1058</v>
      </c>
      <c r="D618" s="13" t="s">
        <v>24</v>
      </c>
      <c r="E618" s="13" t="s">
        <v>1012</v>
      </c>
      <c r="F618" s="3" t="s">
        <v>25</v>
      </c>
      <c r="G618" s="13" t="s">
        <v>26</v>
      </c>
      <c r="H618" s="36">
        <v>5</v>
      </c>
      <c r="I618" s="15">
        <v>1152084</v>
      </c>
      <c r="J618" s="15">
        <v>32316</v>
      </c>
      <c r="K618" s="26">
        <f t="shared" si="37"/>
        <v>0.028050038018061184</v>
      </c>
      <c r="L618" s="136" t="s">
        <v>27</v>
      </c>
      <c r="M618" s="136">
        <v>41941</v>
      </c>
      <c r="N618" s="18">
        <f>1624438.44/1152084</f>
        <v>1.41</v>
      </c>
      <c r="O618" s="16">
        <f t="shared" si="38"/>
        <v>0.019893643984440556</v>
      </c>
    </row>
    <row r="619" spans="1:15" s="101" customFormat="1" ht="22.5">
      <c r="A619" s="6" t="s">
        <v>28</v>
      </c>
      <c r="B619" s="13" t="s">
        <v>309</v>
      </c>
      <c r="C619" s="13" t="s">
        <v>1058</v>
      </c>
      <c r="D619" s="13" t="s">
        <v>29</v>
      </c>
      <c r="E619" s="13" t="s">
        <v>1012</v>
      </c>
      <c r="F619" s="3" t="s">
        <v>1006</v>
      </c>
      <c r="G619" s="13" t="s">
        <v>30</v>
      </c>
      <c r="H619" s="36">
        <v>5</v>
      </c>
      <c r="I619" s="15">
        <v>1358229</v>
      </c>
      <c r="J619" s="15">
        <v>39415</v>
      </c>
      <c r="K619" s="26">
        <f t="shared" si="37"/>
        <v>0.02901940688941261</v>
      </c>
      <c r="L619" s="136">
        <v>41908</v>
      </c>
      <c r="M619" s="136">
        <v>41941</v>
      </c>
      <c r="N619" s="18">
        <f>1915102.89/1358229</f>
        <v>1.41</v>
      </c>
      <c r="O619" s="16">
        <f t="shared" si="38"/>
        <v>0.020581139637881284</v>
      </c>
    </row>
    <row r="620" spans="1:15" s="101" customFormat="1" ht="22.5">
      <c r="A620" s="6" t="s">
        <v>31</v>
      </c>
      <c r="B620" s="13" t="s">
        <v>309</v>
      </c>
      <c r="C620" s="13" t="s">
        <v>1058</v>
      </c>
      <c r="D620" s="13" t="s">
        <v>29</v>
      </c>
      <c r="E620" s="13" t="s">
        <v>1012</v>
      </c>
      <c r="F620" s="3" t="s">
        <v>1006</v>
      </c>
      <c r="G620" s="13" t="s">
        <v>32</v>
      </c>
      <c r="H620" s="36">
        <v>5</v>
      </c>
      <c r="I620" s="15">
        <v>790677</v>
      </c>
      <c r="J620" s="15">
        <v>23663</v>
      </c>
      <c r="K620" s="26">
        <f t="shared" si="37"/>
        <v>0.029927517810686286</v>
      </c>
      <c r="L620" s="136">
        <v>41908</v>
      </c>
      <c r="M620" s="136">
        <v>41941</v>
      </c>
      <c r="N620" s="18">
        <f>1114854.57/790677</f>
        <v>1.4100000000000001</v>
      </c>
      <c r="O620" s="16">
        <f t="shared" si="38"/>
        <v>0.021225189936656938</v>
      </c>
    </row>
    <row r="621" spans="1:15" s="101" customFormat="1" ht="33.75">
      <c r="A621" s="6" t="s">
        <v>365</v>
      </c>
      <c r="B621" s="13" t="s">
        <v>309</v>
      </c>
      <c r="C621" s="13" t="s">
        <v>341</v>
      </c>
      <c r="D621" s="13" t="s">
        <v>366</v>
      </c>
      <c r="E621" s="13" t="s">
        <v>1012</v>
      </c>
      <c r="F621" s="3" t="s">
        <v>343</v>
      </c>
      <c r="G621" s="13" t="s">
        <v>367</v>
      </c>
      <c r="H621" s="36">
        <v>15</v>
      </c>
      <c r="I621" s="15">
        <v>2376062</v>
      </c>
      <c r="J621" s="15">
        <v>98108</v>
      </c>
      <c r="K621" s="26">
        <f t="shared" si="37"/>
        <v>0.041290168354192774</v>
      </c>
      <c r="L621" s="136">
        <v>41744</v>
      </c>
      <c r="M621" s="3" t="s">
        <v>346</v>
      </c>
      <c r="N621" s="18">
        <f>19317384.06/2376062</f>
        <v>8.129999999999999</v>
      </c>
      <c r="O621" s="16">
        <f t="shared" si="38"/>
        <v>0.005078741494980662</v>
      </c>
    </row>
    <row r="622" spans="1:15" s="101" customFormat="1" ht="33.75">
      <c r="A622" s="6" t="s">
        <v>362</v>
      </c>
      <c r="B622" s="13" t="s">
        <v>309</v>
      </c>
      <c r="C622" s="13" t="s">
        <v>341</v>
      </c>
      <c r="D622" s="13" t="s">
        <v>363</v>
      </c>
      <c r="E622" s="13" t="s">
        <v>1012</v>
      </c>
      <c r="F622" s="3" t="s">
        <v>343</v>
      </c>
      <c r="G622" s="13" t="s">
        <v>364</v>
      </c>
      <c r="H622" s="36">
        <v>15</v>
      </c>
      <c r="I622" s="15">
        <v>1600000</v>
      </c>
      <c r="J622" s="15">
        <v>74040</v>
      </c>
      <c r="K622" s="26">
        <f t="shared" si="37"/>
        <v>0.046275</v>
      </c>
      <c r="L622" s="136">
        <v>41744</v>
      </c>
      <c r="M622" s="3" t="s">
        <v>346</v>
      </c>
      <c r="N622" s="18">
        <f>13008000/1600000</f>
        <v>8.13</v>
      </c>
      <c r="O622" s="16">
        <f t="shared" si="38"/>
        <v>0.005691881918819188</v>
      </c>
    </row>
    <row r="623" spans="1:15" s="101" customFormat="1" ht="33.75">
      <c r="A623" s="6" t="s">
        <v>371</v>
      </c>
      <c r="B623" s="13" t="s">
        <v>309</v>
      </c>
      <c r="C623" s="13" t="s">
        <v>341</v>
      </c>
      <c r="D623" s="13" t="s">
        <v>372</v>
      </c>
      <c r="E623" s="13" t="s">
        <v>1012</v>
      </c>
      <c r="F623" s="3" t="s">
        <v>343</v>
      </c>
      <c r="G623" s="13" t="s">
        <v>373</v>
      </c>
      <c r="H623" s="36">
        <v>15</v>
      </c>
      <c r="I623" s="15">
        <v>1220158</v>
      </c>
      <c r="J623" s="15">
        <v>61051</v>
      </c>
      <c r="K623" s="26">
        <f t="shared" si="37"/>
        <v>0.05003532329419633</v>
      </c>
      <c r="L623" s="136">
        <v>41744</v>
      </c>
      <c r="M623" s="3" t="s">
        <v>346</v>
      </c>
      <c r="N623" s="18">
        <f>9919884.54/1220158</f>
        <v>8.129999999999999</v>
      </c>
      <c r="O623" s="16">
        <f t="shared" si="38"/>
        <v>0.006154406309249241</v>
      </c>
    </row>
    <row r="624" spans="1:15" s="101" customFormat="1" ht="33.75">
      <c r="A624" s="6" t="s">
        <v>356</v>
      </c>
      <c r="B624" s="13" t="s">
        <v>309</v>
      </c>
      <c r="C624" s="13" t="s">
        <v>341</v>
      </c>
      <c r="D624" s="13" t="s">
        <v>357</v>
      </c>
      <c r="E624" s="13" t="s">
        <v>1012</v>
      </c>
      <c r="F624" s="3" t="s">
        <v>343</v>
      </c>
      <c r="G624" s="13" t="s">
        <v>358</v>
      </c>
      <c r="H624" s="36">
        <v>15</v>
      </c>
      <c r="I624" s="15">
        <v>1164251</v>
      </c>
      <c r="J624" s="15">
        <v>59047</v>
      </c>
      <c r="K624" s="26">
        <f t="shared" si="37"/>
        <v>0.05071672689136621</v>
      </c>
      <c r="L624" s="136">
        <v>41744</v>
      </c>
      <c r="M624" s="3" t="s">
        <v>346</v>
      </c>
      <c r="N624" s="18">
        <f>9465360.63/1164251</f>
        <v>8.13</v>
      </c>
      <c r="O624" s="16">
        <f t="shared" si="38"/>
        <v>0.006238219789835941</v>
      </c>
    </row>
    <row r="625" spans="1:15" s="101" customFormat="1" ht="33.75">
      <c r="A625" s="6" t="s">
        <v>368</v>
      </c>
      <c r="B625" s="13" t="s">
        <v>309</v>
      </c>
      <c r="C625" s="13" t="s">
        <v>341</v>
      </c>
      <c r="D625" s="13" t="s">
        <v>369</v>
      </c>
      <c r="E625" s="13" t="s">
        <v>1012</v>
      </c>
      <c r="F625" s="3" t="s">
        <v>343</v>
      </c>
      <c r="G625" s="13" t="s">
        <v>370</v>
      </c>
      <c r="H625" s="36">
        <v>15</v>
      </c>
      <c r="I625" s="15">
        <v>1122405</v>
      </c>
      <c r="J625" s="15">
        <v>57528</v>
      </c>
      <c r="K625" s="26">
        <f t="shared" si="37"/>
        <v>0.051254226415598646</v>
      </c>
      <c r="L625" s="136">
        <v>41744</v>
      </c>
      <c r="M625" s="3" t="s">
        <v>346</v>
      </c>
      <c r="N625" s="18">
        <f>9125152.65/1122405</f>
        <v>8.13</v>
      </c>
      <c r="O625" s="16">
        <f t="shared" si="38"/>
        <v>0.006304332892447557</v>
      </c>
    </row>
    <row r="626" spans="1:15" s="101" customFormat="1" ht="33.75">
      <c r="A626" s="6" t="s">
        <v>340</v>
      </c>
      <c r="B626" s="13" t="s">
        <v>309</v>
      </c>
      <c r="C626" s="13" t="s">
        <v>341</v>
      </c>
      <c r="D626" s="13" t="s">
        <v>342</v>
      </c>
      <c r="E626" s="13" t="s">
        <v>1012</v>
      </c>
      <c r="F626" s="3" t="s">
        <v>343</v>
      </c>
      <c r="G626" s="13" t="s">
        <v>344</v>
      </c>
      <c r="H626" s="36">
        <v>15</v>
      </c>
      <c r="I626" s="15">
        <v>1035215</v>
      </c>
      <c r="J626" s="15">
        <v>54311</v>
      </c>
      <c r="K626" s="26">
        <f t="shared" si="37"/>
        <v>0.05246349792072178</v>
      </c>
      <c r="L626" s="136" t="s">
        <v>345</v>
      </c>
      <c r="M626" s="3" t="s">
        <v>346</v>
      </c>
      <c r="N626" s="18">
        <f>8416297.95/1035215</f>
        <v>8.129999999999999</v>
      </c>
      <c r="O626" s="16">
        <f t="shared" si="38"/>
        <v>0.00645307477499653</v>
      </c>
    </row>
    <row r="627" spans="1:15" s="101" customFormat="1" ht="33.75">
      <c r="A627" s="6" t="s">
        <v>350</v>
      </c>
      <c r="B627" s="13" t="s">
        <v>309</v>
      </c>
      <c r="C627" s="13" t="s">
        <v>341</v>
      </c>
      <c r="D627" s="13" t="s">
        <v>351</v>
      </c>
      <c r="E627" s="13" t="s">
        <v>1012</v>
      </c>
      <c r="F627" s="3" t="s">
        <v>343</v>
      </c>
      <c r="G627" s="13" t="s">
        <v>352</v>
      </c>
      <c r="H627" s="36">
        <v>15</v>
      </c>
      <c r="I627" s="15">
        <v>775204</v>
      </c>
      <c r="J627" s="15">
        <v>44207</v>
      </c>
      <c r="K627" s="26">
        <f t="shared" si="37"/>
        <v>0.05702627953416133</v>
      </c>
      <c r="L627" s="136">
        <v>41744</v>
      </c>
      <c r="M627" s="3" t="s">
        <v>346</v>
      </c>
      <c r="N627" s="18">
        <f>6302408.52/775204</f>
        <v>8.129999999999999</v>
      </c>
      <c r="O627" s="16">
        <f t="shared" si="38"/>
        <v>0.007014302525727102</v>
      </c>
    </row>
    <row r="628" spans="1:15" s="101" customFormat="1" ht="33.75">
      <c r="A628" s="6" t="s">
        <v>347</v>
      </c>
      <c r="B628" s="13" t="s">
        <v>309</v>
      </c>
      <c r="C628" s="13" t="s">
        <v>341</v>
      </c>
      <c r="D628" s="13" t="s">
        <v>348</v>
      </c>
      <c r="E628" s="13" t="s">
        <v>1012</v>
      </c>
      <c r="F628" s="3" t="s">
        <v>343</v>
      </c>
      <c r="G628" s="13" t="s">
        <v>349</v>
      </c>
      <c r="H628" s="36">
        <v>15</v>
      </c>
      <c r="I628" s="15">
        <v>543117</v>
      </c>
      <c r="J628" s="15">
        <v>34317</v>
      </c>
      <c r="K628" s="26">
        <f t="shared" si="37"/>
        <v>0.06318528051966703</v>
      </c>
      <c r="L628" s="136">
        <v>41744</v>
      </c>
      <c r="M628" s="3" t="s">
        <v>346</v>
      </c>
      <c r="N628" s="18">
        <f>4415541.21/543117</f>
        <v>8.13</v>
      </c>
      <c r="O628" s="16">
        <f t="shared" si="38"/>
        <v>0.007771867222591269</v>
      </c>
    </row>
    <row r="629" spans="1:15" s="101" customFormat="1" ht="22.5">
      <c r="A629" s="6" t="s">
        <v>353</v>
      </c>
      <c r="B629" s="13" t="s">
        <v>309</v>
      </c>
      <c r="C629" s="13" t="s">
        <v>341</v>
      </c>
      <c r="D629" s="13" t="s">
        <v>354</v>
      </c>
      <c r="E629" s="13" t="s">
        <v>1012</v>
      </c>
      <c r="F629" s="3" t="s">
        <v>343</v>
      </c>
      <c r="G629" s="13" t="s">
        <v>355</v>
      </c>
      <c r="H629" s="36">
        <v>15</v>
      </c>
      <c r="I629" s="15">
        <v>524120</v>
      </c>
      <c r="J629" s="15">
        <v>33459</v>
      </c>
      <c r="K629" s="26">
        <f t="shared" si="37"/>
        <v>0.06383843394642448</v>
      </c>
      <c r="L629" s="136">
        <v>41744</v>
      </c>
      <c r="M629" s="3" t="s">
        <v>346</v>
      </c>
      <c r="N629" s="18">
        <f>4261095.6/524120</f>
        <v>8.129999999999999</v>
      </c>
      <c r="O629" s="16">
        <f t="shared" si="38"/>
        <v>0.007852205897469187</v>
      </c>
    </row>
    <row r="630" spans="1:15" s="101" customFormat="1" ht="33.75">
      <c r="A630" s="6" t="s">
        <v>359</v>
      </c>
      <c r="B630" s="13" t="s">
        <v>309</v>
      </c>
      <c r="C630" s="13" t="s">
        <v>341</v>
      </c>
      <c r="D630" s="13" t="s">
        <v>360</v>
      </c>
      <c r="E630" s="13" t="s">
        <v>1012</v>
      </c>
      <c r="F630" s="3" t="s">
        <v>343</v>
      </c>
      <c r="G630" s="13" t="s">
        <v>361</v>
      </c>
      <c r="H630" s="36">
        <v>15</v>
      </c>
      <c r="I630" s="15">
        <v>400085</v>
      </c>
      <c r="J630" s="15">
        <v>27661</v>
      </c>
      <c r="K630" s="26">
        <f t="shared" si="37"/>
        <v>0.06913780821575415</v>
      </c>
      <c r="L630" s="136">
        <v>41744</v>
      </c>
      <c r="M630" s="3" t="s">
        <v>346</v>
      </c>
      <c r="N630" s="18">
        <f>3252691.05/400085</f>
        <v>8.129999999999999</v>
      </c>
      <c r="O630" s="16">
        <f t="shared" si="38"/>
        <v>0.00850403545089227</v>
      </c>
    </row>
    <row r="631" spans="1:15" s="101" customFormat="1" ht="11.25">
      <c r="A631" s="6"/>
      <c r="B631" s="13"/>
      <c r="C631" s="13"/>
      <c r="D631" s="13"/>
      <c r="E631" s="13"/>
      <c r="F631" s="3"/>
      <c r="G631" s="13"/>
      <c r="H631" s="3"/>
      <c r="I631" s="15"/>
      <c r="J631" s="15"/>
      <c r="K631" s="26"/>
      <c r="L631" s="136"/>
      <c r="M631" s="3"/>
      <c r="N631" s="18"/>
      <c r="O631" s="137"/>
    </row>
    <row r="632" spans="1:15" s="101" customFormat="1" ht="11.25">
      <c r="A632" s="6"/>
      <c r="B632" s="13"/>
      <c r="C632" s="13"/>
      <c r="D632" s="13"/>
      <c r="E632" s="13"/>
      <c r="F632" s="3"/>
      <c r="G632" s="13"/>
      <c r="H632" s="3"/>
      <c r="I632" s="15"/>
      <c r="J632" s="15"/>
      <c r="K632" s="26"/>
      <c r="L632" s="136"/>
      <c r="M632" s="3"/>
      <c r="N632" s="18"/>
      <c r="O632" s="137"/>
    </row>
    <row r="633" spans="1:15" s="101" customFormat="1" ht="11.25">
      <c r="A633" s="6"/>
      <c r="B633" s="13"/>
      <c r="C633" s="13"/>
      <c r="D633" s="13"/>
      <c r="E633" s="13"/>
      <c r="F633" s="3"/>
      <c r="G633" s="13"/>
      <c r="H633" s="3"/>
      <c r="I633" s="15"/>
      <c r="J633" s="15"/>
      <c r="K633" s="26"/>
      <c r="L633" s="136"/>
      <c r="M633" s="3"/>
      <c r="N633" s="18"/>
      <c r="O633" s="137"/>
    </row>
    <row r="634" spans="1:15" s="101" customFormat="1" ht="11.25">
      <c r="A634" s="6"/>
      <c r="B634" s="13"/>
      <c r="C634" s="13"/>
      <c r="D634" s="13"/>
      <c r="E634" s="13"/>
      <c r="F634" s="3"/>
      <c r="G634" s="13"/>
      <c r="H634" s="3"/>
      <c r="I634" s="15"/>
      <c r="J634" s="15"/>
      <c r="K634" s="26"/>
      <c r="L634" s="136"/>
      <c r="M634" s="3"/>
      <c r="N634" s="18"/>
      <c r="O634" s="137"/>
    </row>
    <row r="635" spans="1:15" s="101" customFormat="1" ht="11.25">
      <c r="A635" s="6"/>
      <c r="B635" s="13"/>
      <c r="C635" s="13"/>
      <c r="D635" s="13"/>
      <c r="E635" s="13"/>
      <c r="F635" s="3"/>
      <c r="G635" s="13"/>
      <c r="H635" s="3"/>
      <c r="I635" s="15"/>
      <c r="J635" s="15"/>
      <c r="K635" s="26"/>
      <c r="L635" s="136"/>
      <c r="M635" s="3"/>
      <c r="N635" s="18"/>
      <c r="O635" s="137"/>
    </row>
    <row r="636" spans="1:15" s="101" customFormat="1" ht="11.25">
      <c r="A636" s="6"/>
      <c r="B636" s="13"/>
      <c r="C636" s="13"/>
      <c r="D636" s="13"/>
      <c r="E636" s="13"/>
      <c r="F636" s="3"/>
      <c r="G636" s="13"/>
      <c r="H636" s="36"/>
      <c r="I636" s="15"/>
      <c r="J636" s="15"/>
      <c r="K636" s="26"/>
      <c r="L636" s="136"/>
      <c r="M636" s="3"/>
      <c r="N636" s="18"/>
      <c r="O636" s="137"/>
    </row>
    <row r="637" spans="1:15" s="101" customFormat="1" ht="11.25">
      <c r="A637" s="6"/>
      <c r="B637" s="13"/>
      <c r="C637" s="13"/>
      <c r="D637" s="13"/>
      <c r="E637" s="13"/>
      <c r="F637" s="3"/>
      <c r="G637" s="13"/>
      <c r="H637" s="36"/>
      <c r="I637" s="15"/>
      <c r="J637" s="15"/>
      <c r="K637" s="26"/>
      <c r="L637" s="136"/>
      <c r="M637" s="3"/>
      <c r="N637" s="18"/>
      <c r="O637" s="137"/>
    </row>
    <row r="638" spans="1:15" s="101" customFormat="1" ht="11.25">
      <c r="A638" s="6"/>
      <c r="B638" s="13"/>
      <c r="C638" s="13"/>
      <c r="D638" s="13"/>
      <c r="E638" s="13"/>
      <c r="F638" s="3"/>
      <c r="G638" s="13"/>
      <c r="H638" s="36"/>
      <c r="I638" s="15"/>
      <c r="J638" s="15"/>
      <c r="K638" s="26"/>
      <c r="L638" s="136"/>
      <c r="M638" s="3"/>
      <c r="N638" s="18"/>
      <c r="O638" s="137"/>
    </row>
    <row r="639" spans="1:15" s="101" customFormat="1" ht="12" thickBot="1">
      <c r="A639" s="7"/>
      <c r="B639" s="34"/>
      <c r="C639" s="34"/>
      <c r="D639" s="34"/>
      <c r="E639" s="34"/>
      <c r="F639" s="17"/>
      <c r="G639" s="34"/>
      <c r="H639" s="45"/>
      <c r="I639" s="21"/>
      <c r="J639" s="21"/>
      <c r="K639" s="38"/>
      <c r="L639" s="138"/>
      <c r="M639" s="17"/>
      <c r="N639" s="139"/>
      <c r="O639" s="140"/>
    </row>
    <row r="640" spans="1:11" ht="20.25">
      <c r="A640" s="39"/>
      <c r="B640" s="31"/>
      <c r="C640" s="2"/>
      <c r="D640" s="2"/>
      <c r="E640" s="2"/>
      <c r="F640" s="24"/>
      <c r="G640" s="2"/>
      <c r="H640" s="24"/>
      <c r="I640" s="24"/>
      <c r="J640" s="24"/>
      <c r="K640" s="2"/>
    </row>
    <row r="641" spans="1:11" ht="20.25">
      <c r="A641" s="39"/>
      <c r="B641" s="31"/>
      <c r="C641" s="2"/>
      <c r="D641" s="2"/>
      <c r="E641" s="2"/>
      <c r="F641" s="24"/>
      <c r="G641" s="2"/>
      <c r="H641" s="24"/>
      <c r="I641" s="24"/>
      <c r="J641" s="24"/>
      <c r="K641" s="2"/>
    </row>
    <row r="642" spans="1:11" ht="20.25">
      <c r="A642" s="39"/>
      <c r="B642" s="31"/>
      <c r="C642" s="2"/>
      <c r="D642" s="2"/>
      <c r="E642" s="2"/>
      <c r="F642" s="24"/>
      <c r="G642" s="2"/>
      <c r="H642" s="24"/>
      <c r="I642" s="24"/>
      <c r="J642" s="24"/>
      <c r="K642" s="2"/>
    </row>
    <row r="643" spans="1:11" ht="20.25">
      <c r="A643" s="39"/>
      <c r="B643" s="31"/>
      <c r="C643" s="2"/>
      <c r="D643" s="2"/>
      <c r="E643" s="2"/>
      <c r="F643" s="24"/>
      <c r="G643" s="2"/>
      <c r="H643" s="24"/>
      <c r="I643" s="24"/>
      <c r="J643" s="24"/>
      <c r="K643" s="2"/>
    </row>
    <row r="644" spans="1:11" ht="20.25">
      <c r="A644" s="39"/>
      <c r="B644" s="31"/>
      <c r="C644" s="2"/>
      <c r="D644" s="2"/>
      <c r="E644" s="2"/>
      <c r="F644" s="24"/>
      <c r="G644" s="2"/>
      <c r="H644" s="24"/>
      <c r="I644" s="24"/>
      <c r="J644" s="24"/>
      <c r="K644" s="2"/>
    </row>
    <row r="645" spans="1:11" ht="20.25">
      <c r="A645" s="39"/>
      <c r="B645" s="31"/>
      <c r="C645" s="2"/>
      <c r="D645" s="2"/>
      <c r="E645" s="2"/>
      <c r="F645" s="24"/>
      <c r="G645" s="2"/>
      <c r="H645" s="24"/>
      <c r="I645" s="24"/>
      <c r="J645" s="24"/>
      <c r="K645" s="2"/>
    </row>
    <row r="646" spans="1:11" ht="20.25">
      <c r="A646" s="39"/>
      <c r="B646" s="31"/>
      <c r="C646" s="2"/>
      <c r="D646" s="2"/>
      <c r="E646" s="2"/>
      <c r="F646" s="24"/>
      <c r="G646" s="2"/>
      <c r="H646" s="24"/>
      <c r="I646" s="24"/>
      <c r="J646" s="24"/>
      <c r="K646" s="2"/>
    </row>
    <row r="647" spans="1:11" ht="20.25">
      <c r="A647" s="39"/>
      <c r="B647" s="31"/>
      <c r="C647" s="2"/>
      <c r="D647" s="2"/>
      <c r="E647" s="2"/>
      <c r="F647" s="24"/>
      <c r="G647" s="2"/>
      <c r="H647" s="24"/>
      <c r="I647" s="24"/>
      <c r="J647" s="24"/>
      <c r="K647" s="2"/>
    </row>
    <row r="648" spans="1:11" ht="20.25">
      <c r="A648" s="39"/>
      <c r="B648" s="31"/>
      <c r="C648" s="2"/>
      <c r="D648" s="2"/>
      <c r="E648" s="2"/>
      <c r="F648" s="24"/>
      <c r="G648" s="2"/>
      <c r="H648" s="24"/>
      <c r="I648" s="24"/>
      <c r="J648" s="24"/>
      <c r="K648" s="2"/>
    </row>
    <row r="649" spans="1:11" ht="20.25">
      <c r="A649" s="39"/>
      <c r="B649" s="31"/>
      <c r="C649" s="2"/>
      <c r="D649" s="2"/>
      <c r="E649" s="2"/>
      <c r="F649" s="24"/>
      <c r="G649" s="2"/>
      <c r="H649" s="24"/>
      <c r="I649" s="24"/>
      <c r="J649" s="24"/>
      <c r="K649" s="2"/>
    </row>
    <row r="650" spans="1:11" ht="20.25">
      <c r="A650" s="39"/>
      <c r="B650" s="31"/>
      <c r="C650" s="2"/>
      <c r="D650" s="2"/>
      <c r="E650" s="2"/>
      <c r="F650" s="24"/>
      <c r="G650" s="2"/>
      <c r="H650" s="24"/>
      <c r="I650" s="24"/>
      <c r="J650" s="24"/>
      <c r="K650" s="2"/>
    </row>
    <row r="651" spans="1:11" ht="20.25">
      <c r="A651" s="39"/>
      <c r="B651" s="31"/>
      <c r="C651" s="2"/>
      <c r="D651" s="2"/>
      <c r="E651" s="2"/>
      <c r="F651" s="24"/>
      <c r="G651" s="2"/>
      <c r="H651" s="24"/>
      <c r="I651" s="24"/>
      <c r="J651" s="24"/>
      <c r="K651" s="2"/>
    </row>
    <row r="652" spans="1:11" ht="20.25">
      <c r="A652" s="39"/>
      <c r="B652" s="31"/>
      <c r="C652" s="2"/>
      <c r="D652" s="2"/>
      <c r="E652" s="2"/>
      <c r="F652" s="24"/>
      <c r="G652" s="2"/>
      <c r="H652" s="24"/>
      <c r="I652" s="24"/>
      <c r="J652" s="24"/>
      <c r="K652" s="2"/>
    </row>
    <row r="653" spans="1:11" ht="20.25">
      <c r="A653" s="39"/>
      <c r="B653" s="31"/>
      <c r="C653" s="2"/>
      <c r="D653" s="2"/>
      <c r="E653" s="2"/>
      <c r="F653" s="24"/>
      <c r="G653" s="2"/>
      <c r="H653" s="24"/>
      <c r="I653" s="24"/>
      <c r="J653" s="24"/>
      <c r="K653" s="2"/>
    </row>
    <row r="654" spans="1:11" ht="20.25">
      <c r="A654" s="39"/>
      <c r="B654" s="31"/>
      <c r="C654" s="2"/>
      <c r="D654" s="2"/>
      <c r="E654" s="2"/>
      <c r="F654" s="24"/>
      <c r="G654" s="2"/>
      <c r="H654" s="24"/>
      <c r="I654" s="24"/>
      <c r="J654" s="24"/>
      <c r="K654" s="2"/>
    </row>
    <row r="655" spans="1:11" ht="20.25">
      <c r="A655" s="39"/>
      <c r="B655" s="31"/>
      <c r="C655" s="2"/>
      <c r="D655" s="2"/>
      <c r="E655" s="2"/>
      <c r="F655" s="24"/>
      <c r="G655" s="2"/>
      <c r="H655" s="24"/>
      <c r="I655" s="24"/>
      <c r="J655" s="24"/>
      <c r="K655" s="2"/>
    </row>
    <row r="656" spans="1:11" ht="20.25">
      <c r="A656" s="39"/>
      <c r="B656" s="31"/>
      <c r="C656" s="2"/>
      <c r="D656" s="2"/>
      <c r="E656" s="2"/>
      <c r="F656" s="24"/>
      <c r="G656" s="2"/>
      <c r="H656" s="24"/>
      <c r="I656" s="24"/>
      <c r="J656" s="24"/>
      <c r="K656" s="2"/>
    </row>
    <row r="657" spans="1:11" ht="20.25">
      <c r="A657" s="39"/>
      <c r="B657" s="31"/>
      <c r="C657" s="2"/>
      <c r="D657" s="2"/>
      <c r="E657" s="2"/>
      <c r="F657" s="24"/>
      <c r="G657" s="2"/>
      <c r="H657" s="24"/>
      <c r="I657" s="24"/>
      <c r="J657" s="24"/>
      <c r="K657" s="2"/>
    </row>
    <row r="658" spans="1:11" ht="20.25">
      <c r="A658" s="39"/>
      <c r="B658" s="31"/>
      <c r="C658" s="2"/>
      <c r="D658" s="2"/>
      <c r="E658" s="2"/>
      <c r="F658" s="24"/>
      <c r="G658" s="2"/>
      <c r="H658" s="24"/>
      <c r="I658" s="24"/>
      <c r="J658" s="24"/>
      <c r="K658" s="2"/>
    </row>
    <row r="659" spans="1:11" ht="15.75">
      <c r="A659" s="78" t="s">
        <v>120</v>
      </c>
      <c r="B659" s="31"/>
      <c r="C659" s="2"/>
      <c r="D659" s="2"/>
      <c r="E659" s="2"/>
      <c r="F659" s="24"/>
      <c r="G659" s="2"/>
      <c r="H659" s="24"/>
      <c r="I659" s="24"/>
      <c r="J659" s="24"/>
      <c r="K659" s="2"/>
    </row>
    <row r="660" spans="1:15" s="101" customFormat="1" ht="22.5">
      <c r="A660" s="6" t="s">
        <v>5</v>
      </c>
      <c r="B660" s="13" t="s">
        <v>309</v>
      </c>
      <c r="C660" s="13" t="s">
        <v>1</v>
      </c>
      <c r="D660" s="13" t="s">
        <v>2</v>
      </c>
      <c r="E660" s="13" t="s">
        <v>1012</v>
      </c>
      <c r="F660" s="3" t="s">
        <v>3</v>
      </c>
      <c r="G660" s="13" t="s">
        <v>6</v>
      </c>
      <c r="H660" s="36">
        <v>3</v>
      </c>
      <c r="I660" s="15">
        <v>32177</v>
      </c>
      <c r="J660" s="15">
        <v>8000</v>
      </c>
      <c r="K660" s="26">
        <f>J660/I660</f>
        <v>0.2486247941075924</v>
      </c>
      <c r="L660" s="136">
        <v>41907</v>
      </c>
      <c r="M660" s="3" t="s">
        <v>551</v>
      </c>
      <c r="N660" s="18">
        <f>108436.49/32177</f>
        <v>3.37</v>
      </c>
      <c r="O660" s="141">
        <f>K660/N660</f>
        <v>0.07377590329602148</v>
      </c>
    </row>
    <row r="661" spans="1:15" s="101" customFormat="1" ht="22.5">
      <c r="A661" s="6" t="s">
        <v>0</v>
      </c>
      <c r="B661" s="13" t="s">
        <v>309</v>
      </c>
      <c r="C661" s="13" t="s">
        <v>1</v>
      </c>
      <c r="D661" s="13" t="s">
        <v>2</v>
      </c>
      <c r="E661" s="13" t="s">
        <v>1012</v>
      </c>
      <c r="F661" s="3" t="s">
        <v>3</v>
      </c>
      <c r="G661" s="13" t="s">
        <v>4</v>
      </c>
      <c r="H661" s="36">
        <v>3</v>
      </c>
      <c r="I661" s="15">
        <v>61547</v>
      </c>
      <c r="J661" s="15">
        <v>16000</v>
      </c>
      <c r="K661" s="26">
        <f>J661/I661</f>
        <v>0.25996393000471185</v>
      </c>
      <c r="L661" s="136">
        <v>41907</v>
      </c>
      <c r="M661" s="3" t="s">
        <v>551</v>
      </c>
      <c r="N661" s="18">
        <f>207413.39/61547</f>
        <v>3.37</v>
      </c>
      <c r="O661" s="141">
        <f>K661/N661</f>
        <v>0.07714063204887592</v>
      </c>
    </row>
    <row r="662" spans="1:15" s="101" customFormat="1" ht="22.5">
      <c r="A662" s="6" t="s">
        <v>712</v>
      </c>
      <c r="B662" s="13" t="s">
        <v>309</v>
      </c>
      <c r="C662" s="13" t="s">
        <v>713</v>
      </c>
      <c r="D662" s="13" t="s">
        <v>714</v>
      </c>
      <c r="E662" s="13" t="s">
        <v>1012</v>
      </c>
      <c r="F662" s="3" t="s">
        <v>1107</v>
      </c>
      <c r="G662" s="13" t="s">
        <v>715</v>
      </c>
      <c r="H662" s="36">
        <v>10</v>
      </c>
      <c r="I662" s="15">
        <v>515382</v>
      </c>
      <c r="J662" s="15">
        <v>12200</v>
      </c>
      <c r="K662" s="26">
        <f>J662/I662</f>
        <v>0.023671761916403754</v>
      </c>
      <c r="L662" s="136">
        <v>41780</v>
      </c>
      <c r="M662" s="136">
        <v>41810</v>
      </c>
      <c r="N662" s="18">
        <f>602996.94/515382</f>
        <v>1.17</v>
      </c>
      <c r="O662" s="141">
        <f>K662/N662</f>
        <v>0.020232275142225434</v>
      </c>
    </row>
    <row r="663" spans="1:15" s="101" customFormat="1" ht="22.5">
      <c r="A663" s="6" t="s">
        <v>169</v>
      </c>
      <c r="B663" s="13" t="s">
        <v>309</v>
      </c>
      <c r="C663" s="13" t="s">
        <v>152</v>
      </c>
      <c r="D663" s="13" t="s">
        <v>170</v>
      </c>
      <c r="E663" s="13" t="s">
        <v>1012</v>
      </c>
      <c r="F663" s="58" t="s">
        <v>171</v>
      </c>
      <c r="G663" s="13" t="s">
        <v>172</v>
      </c>
      <c r="H663" s="36">
        <v>49</v>
      </c>
      <c r="I663" s="15">
        <v>245790</v>
      </c>
      <c r="J663" s="15">
        <v>2970.8</v>
      </c>
      <c r="K663" s="26">
        <f>J663/I663</f>
        <v>0.012086740713617317</v>
      </c>
      <c r="L663" s="136">
        <v>41738</v>
      </c>
      <c r="M663" s="136">
        <v>41775</v>
      </c>
      <c r="N663" s="18">
        <f>155385.6/242790</f>
        <v>0.64</v>
      </c>
      <c r="O663" s="141">
        <f>K663/N663</f>
        <v>0.018885532365027057</v>
      </c>
    </row>
    <row r="664" spans="1:11" ht="20.25">
      <c r="A664" s="39"/>
      <c r="B664" s="31"/>
      <c r="C664" s="2"/>
      <c r="D664" s="2"/>
      <c r="E664" s="2"/>
      <c r="F664" s="24"/>
      <c r="G664" s="2"/>
      <c r="H664" s="24"/>
      <c r="I664" s="24"/>
      <c r="J664" s="24"/>
      <c r="K664" s="2"/>
    </row>
    <row r="665" spans="1:11" ht="20.25">
      <c r="A665" s="39"/>
      <c r="B665" s="31"/>
      <c r="C665" s="2"/>
      <c r="D665" s="2"/>
      <c r="E665" s="2"/>
      <c r="F665" s="24"/>
      <c r="G665" s="2"/>
      <c r="H665" s="24"/>
      <c r="I665" s="24"/>
      <c r="J665" s="24"/>
      <c r="K665" s="2"/>
    </row>
    <row r="666" spans="1:11" ht="21" thickBot="1">
      <c r="A666" s="39" t="s">
        <v>791</v>
      </c>
      <c r="C666" s="2"/>
      <c r="D666" s="2"/>
      <c r="E666" s="2"/>
      <c r="F666" s="24"/>
      <c r="G666" s="2"/>
      <c r="H666" s="24"/>
      <c r="I666" s="24"/>
      <c r="J666" s="24"/>
      <c r="K666" s="2"/>
    </row>
    <row r="667" spans="1:15" ht="33.75">
      <c r="A667" s="9"/>
      <c r="B667" s="10" t="s">
        <v>123</v>
      </c>
      <c r="C667" s="10" t="s">
        <v>304</v>
      </c>
      <c r="D667" s="10" t="s">
        <v>1004</v>
      </c>
      <c r="E667" s="10" t="s">
        <v>1013</v>
      </c>
      <c r="F667" s="10" t="s">
        <v>1005</v>
      </c>
      <c r="G667" s="10" t="s">
        <v>1014</v>
      </c>
      <c r="H667" s="10" t="s">
        <v>1016</v>
      </c>
      <c r="I667" s="10" t="s">
        <v>1003</v>
      </c>
      <c r="J667" s="10" t="s">
        <v>1018</v>
      </c>
      <c r="K667" s="10" t="s">
        <v>1007</v>
      </c>
      <c r="L667" s="10" t="s">
        <v>1019</v>
      </c>
      <c r="M667" s="10" t="s">
        <v>1020</v>
      </c>
      <c r="N667" s="32" t="s">
        <v>1051</v>
      </c>
      <c r="O667" s="33" t="s">
        <v>1052</v>
      </c>
    </row>
    <row r="668" spans="1:15" s="101" customFormat="1" ht="22.5">
      <c r="A668" s="6" t="s">
        <v>638</v>
      </c>
      <c r="B668" s="13" t="s">
        <v>305</v>
      </c>
      <c r="C668" s="13" t="s">
        <v>733</v>
      </c>
      <c r="D668" s="13" t="s">
        <v>639</v>
      </c>
      <c r="E668" s="13" t="s">
        <v>1012</v>
      </c>
      <c r="F668" s="3" t="s">
        <v>1107</v>
      </c>
      <c r="G668" s="13" t="s">
        <v>640</v>
      </c>
      <c r="H668" s="36">
        <v>3</v>
      </c>
      <c r="I668" s="15">
        <v>1749868</v>
      </c>
      <c r="J668" s="15">
        <v>35000</v>
      </c>
      <c r="K668" s="26">
        <f>J668/I668</f>
        <v>0.020001508685226543</v>
      </c>
      <c r="L668" s="136">
        <v>41905</v>
      </c>
      <c r="M668" s="136">
        <v>41940</v>
      </c>
      <c r="N668" s="18">
        <f>2572305.96/1749868</f>
        <v>1.47</v>
      </c>
      <c r="O668" s="16">
        <f>K668/N668</f>
        <v>0.013606468493351391</v>
      </c>
    </row>
    <row r="669" spans="1:15" s="101" customFormat="1" ht="22.5">
      <c r="A669" s="6" t="s">
        <v>663</v>
      </c>
      <c r="B669" s="13" t="s">
        <v>305</v>
      </c>
      <c r="C669" s="13" t="s">
        <v>664</v>
      </c>
      <c r="D669" s="13" t="s">
        <v>665</v>
      </c>
      <c r="E669" s="13" t="s">
        <v>1012</v>
      </c>
      <c r="F669" s="3" t="s">
        <v>1107</v>
      </c>
      <c r="G669" s="13" t="s">
        <v>666</v>
      </c>
      <c r="H669" s="36">
        <v>3</v>
      </c>
      <c r="I669" s="15">
        <v>588122</v>
      </c>
      <c r="J669" s="15">
        <v>48150</v>
      </c>
      <c r="K669" s="26">
        <f>J669/I669</f>
        <v>0.0818707683099765</v>
      </c>
      <c r="L669" s="136" t="s">
        <v>667</v>
      </c>
      <c r="M669" s="136">
        <v>41688</v>
      </c>
      <c r="N669" s="18">
        <f>940995.2/588122</f>
        <v>1.5999999999999999</v>
      </c>
      <c r="O669" s="137">
        <f>K669/N669</f>
        <v>0.051169230193735316</v>
      </c>
    </row>
    <row r="670" spans="1:15" s="101" customFormat="1" ht="78.75">
      <c r="A670" s="6" t="s">
        <v>101</v>
      </c>
      <c r="B670" s="13" t="s">
        <v>305</v>
      </c>
      <c r="C670" s="13" t="s">
        <v>174</v>
      </c>
      <c r="D670" s="13" t="s">
        <v>102</v>
      </c>
      <c r="E670" s="13" t="s">
        <v>1012</v>
      </c>
      <c r="F670" s="3" t="s">
        <v>103</v>
      </c>
      <c r="G670" s="13" t="s">
        <v>104</v>
      </c>
      <c r="H670" s="36">
        <v>3</v>
      </c>
      <c r="I670" s="15">
        <v>350000</v>
      </c>
      <c r="J670" s="15">
        <v>40000</v>
      </c>
      <c r="K670" s="26">
        <f>J670/I670</f>
        <v>0.11428571428571428</v>
      </c>
      <c r="L670" s="136">
        <v>41943</v>
      </c>
      <c r="M670" s="136">
        <v>41983</v>
      </c>
      <c r="N670" s="18">
        <f>980000/350000</f>
        <v>2.8</v>
      </c>
      <c r="O670" s="16">
        <f>K670/N670</f>
        <v>0.04081632653061225</v>
      </c>
    </row>
    <row r="671" spans="1:15" s="101" customFormat="1" ht="22.5">
      <c r="A671" s="6" t="s">
        <v>597</v>
      </c>
      <c r="B671" s="13" t="s">
        <v>305</v>
      </c>
      <c r="C671" s="13" t="s">
        <v>217</v>
      </c>
      <c r="D671" s="13" t="s">
        <v>598</v>
      </c>
      <c r="E671" s="13" t="s">
        <v>1012</v>
      </c>
      <c r="F671" s="3" t="s">
        <v>1008</v>
      </c>
      <c r="G671" s="13" t="s">
        <v>599</v>
      </c>
      <c r="H671" s="36">
        <v>5</v>
      </c>
      <c r="I671" s="15">
        <v>1624327</v>
      </c>
      <c r="J671" s="15">
        <v>145000</v>
      </c>
      <c r="K671" s="26">
        <f>J671/I671</f>
        <v>0.08926773980854841</v>
      </c>
      <c r="L671" s="136">
        <v>41934</v>
      </c>
      <c r="M671" s="136">
        <v>41983</v>
      </c>
      <c r="N671" s="18">
        <f>6416091.65/1624327</f>
        <v>3.95</v>
      </c>
      <c r="O671" s="16">
        <f>K671/N671</f>
        <v>0.022599427799632508</v>
      </c>
    </row>
    <row r="672" spans="1:15" s="101" customFormat="1" ht="22.5">
      <c r="A672" s="6" t="s">
        <v>600</v>
      </c>
      <c r="B672" s="13" t="s">
        <v>305</v>
      </c>
      <c r="C672" s="13" t="s">
        <v>217</v>
      </c>
      <c r="D672" s="13" t="s">
        <v>598</v>
      </c>
      <c r="E672" s="13" t="s">
        <v>1012</v>
      </c>
      <c r="F672" s="3" t="s">
        <v>1008</v>
      </c>
      <c r="G672" s="13" t="s">
        <v>601</v>
      </c>
      <c r="H672" s="36">
        <v>5</v>
      </c>
      <c r="I672" s="15">
        <v>669153</v>
      </c>
      <c r="J672" s="15">
        <v>60000</v>
      </c>
      <c r="K672" s="26">
        <f>J672/I672</f>
        <v>0.08966559217398712</v>
      </c>
      <c r="L672" s="136">
        <v>41934</v>
      </c>
      <c r="M672" s="136">
        <v>41983</v>
      </c>
      <c r="N672" s="18">
        <f>2643154.35/669153</f>
        <v>3.95</v>
      </c>
      <c r="O672" s="16">
        <f>K672/N672</f>
        <v>0.022700149917465093</v>
      </c>
    </row>
    <row r="673" spans="1:15" s="101" customFormat="1" ht="22.5">
      <c r="A673" s="6" t="s">
        <v>602</v>
      </c>
      <c r="B673" s="13" t="s">
        <v>305</v>
      </c>
      <c r="C673" s="13" t="s">
        <v>217</v>
      </c>
      <c r="D673" s="13" t="s">
        <v>603</v>
      </c>
      <c r="E673" s="13" t="s">
        <v>1012</v>
      </c>
      <c r="F673" s="3" t="s">
        <v>1008</v>
      </c>
      <c r="G673" s="13" t="s">
        <v>604</v>
      </c>
      <c r="H673" s="36">
        <v>5</v>
      </c>
      <c r="I673" s="15">
        <v>61841</v>
      </c>
      <c r="J673" s="15">
        <v>5400</v>
      </c>
      <c r="K673" s="26">
        <f>J673/I673</f>
        <v>0.0873207095616177</v>
      </c>
      <c r="L673" s="136">
        <v>41934</v>
      </c>
      <c r="M673" s="136" t="s">
        <v>605</v>
      </c>
      <c r="N673" s="18">
        <f>123682/61841</f>
        <v>2</v>
      </c>
      <c r="O673" s="16">
        <f>K673/N673</f>
        <v>0.04366035478080885</v>
      </c>
    </row>
    <row r="674" spans="1:15" s="101" customFormat="1" ht="22.5">
      <c r="A674" s="6" t="s">
        <v>606</v>
      </c>
      <c r="B674" s="13" t="s">
        <v>305</v>
      </c>
      <c r="C674" s="13" t="s">
        <v>174</v>
      </c>
      <c r="D674" s="13" t="s">
        <v>607</v>
      </c>
      <c r="E674" s="13" t="s">
        <v>1012</v>
      </c>
      <c r="F674" s="3" t="s">
        <v>1117</v>
      </c>
      <c r="G674" s="13" t="s">
        <v>608</v>
      </c>
      <c r="H674" s="36">
        <v>5</v>
      </c>
      <c r="I674" s="15">
        <v>820312</v>
      </c>
      <c r="J674" s="15">
        <v>59880</v>
      </c>
      <c r="K674" s="26">
        <f>J674/I674</f>
        <v>0.07299661592174685</v>
      </c>
      <c r="L674" s="136">
        <v>41964</v>
      </c>
      <c r="M674" s="136">
        <v>41996</v>
      </c>
      <c r="N674" s="18">
        <f>2292115.79/820312</f>
        <v>2.7941999995123807</v>
      </c>
      <c r="O674" s="16">
        <f>K674/N674</f>
        <v>0.026124334669846674</v>
      </c>
    </row>
    <row r="675" spans="1:15" s="101" customFormat="1" ht="22.5">
      <c r="A675" s="6" t="s">
        <v>609</v>
      </c>
      <c r="B675" s="13" t="s">
        <v>305</v>
      </c>
      <c r="C675" s="13" t="s">
        <v>174</v>
      </c>
      <c r="D675" s="13" t="s">
        <v>607</v>
      </c>
      <c r="E675" s="13" t="s">
        <v>1012</v>
      </c>
      <c r="F675" s="3" t="s">
        <v>1107</v>
      </c>
      <c r="G675" s="13" t="s">
        <v>610</v>
      </c>
      <c r="H675" s="36">
        <v>5</v>
      </c>
      <c r="I675" s="15">
        <v>294012</v>
      </c>
      <c r="J675" s="15">
        <v>21460</v>
      </c>
      <c r="K675" s="26">
        <f>J675/I675</f>
        <v>0.07299021808633661</v>
      </c>
      <c r="L675" s="136">
        <v>41964</v>
      </c>
      <c r="M675" s="136">
        <v>41996</v>
      </c>
      <c r="N675" s="18">
        <f>796772.52/294012</f>
        <v>2.71</v>
      </c>
      <c r="O675" s="16">
        <f>K675/N675</f>
        <v>0.026933659810456315</v>
      </c>
    </row>
    <row r="676" spans="1:15" s="101" customFormat="1" ht="45">
      <c r="A676" s="6" t="s">
        <v>942</v>
      </c>
      <c r="B676" s="13" t="s">
        <v>305</v>
      </c>
      <c r="C676" s="13" t="s">
        <v>1038</v>
      </c>
      <c r="D676" s="13" t="s">
        <v>944</v>
      </c>
      <c r="E676" s="13" t="s">
        <v>1012</v>
      </c>
      <c r="F676" s="3" t="s">
        <v>943</v>
      </c>
      <c r="G676" s="13" t="s">
        <v>945</v>
      </c>
      <c r="H676" s="36">
        <v>7</v>
      </c>
      <c r="I676" s="15">
        <v>2461500</v>
      </c>
      <c r="J676" s="15">
        <v>113721</v>
      </c>
      <c r="K676" s="26">
        <f>J676/I676</f>
        <v>0.04619987812309567</v>
      </c>
      <c r="L676" s="136" t="s">
        <v>946</v>
      </c>
      <c r="M676" s="136" t="s">
        <v>947</v>
      </c>
      <c r="N676" s="18">
        <f>4406085/2461500</f>
        <v>1.79</v>
      </c>
      <c r="O676" s="16">
        <f>K676/N676</f>
        <v>0.02580998777826574</v>
      </c>
    </row>
    <row r="677" spans="1:15" s="101" customFormat="1" ht="45">
      <c r="A677" s="6" t="s">
        <v>948</v>
      </c>
      <c r="B677" s="13" t="s">
        <v>305</v>
      </c>
      <c r="C677" s="13" t="s">
        <v>1038</v>
      </c>
      <c r="D677" s="13" t="s">
        <v>944</v>
      </c>
      <c r="E677" s="13" t="s">
        <v>1012</v>
      </c>
      <c r="F677" s="3" t="s">
        <v>943</v>
      </c>
      <c r="G677" s="13" t="s">
        <v>949</v>
      </c>
      <c r="H677" s="36">
        <v>7</v>
      </c>
      <c r="I677" s="15">
        <v>1641234</v>
      </c>
      <c r="J677" s="15">
        <v>75825</v>
      </c>
      <c r="K677" s="26">
        <f>J677/I677</f>
        <v>0.04619999341958551</v>
      </c>
      <c r="L677" s="136" t="s">
        <v>946</v>
      </c>
      <c r="M677" s="136" t="s">
        <v>947</v>
      </c>
      <c r="N677" s="18">
        <f>2937808.86/1641234</f>
        <v>1.7899999999999998</v>
      </c>
      <c r="O677" s="16">
        <f>K677/N677</f>
        <v>0.025810052189712576</v>
      </c>
    </row>
    <row r="678" spans="1:15" s="101" customFormat="1" ht="22.5">
      <c r="A678" s="6" t="s">
        <v>162</v>
      </c>
      <c r="B678" s="13" t="s">
        <v>305</v>
      </c>
      <c r="C678" s="13" t="s">
        <v>1038</v>
      </c>
      <c r="D678" s="13" t="s">
        <v>160</v>
      </c>
      <c r="E678" s="13" t="s">
        <v>1012</v>
      </c>
      <c r="F678" s="3" t="s">
        <v>1008</v>
      </c>
      <c r="G678" s="13" t="s">
        <v>163</v>
      </c>
      <c r="H678" s="36">
        <v>10</v>
      </c>
      <c r="I678" s="15">
        <v>4690000</v>
      </c>
      <c r="J678" s="15">
        <v>68816.37</v>
      </c>
      <c r="K678" s="26">
        <f>J678/I678</f>
        <v>0.014672999999999999</v>
      </c>
      <c r="L678" s="136">
        <v>41767</v>
      </c>
      <c r="M678" s="136">
        <v>41796</v>
      </c>
      <c r="N678" s="143">
        <f>9426900/4690000</f>
        <v>2.01</v>
      </c>
      <c r="O678" s="137">
        <f>K678/N678</f>
        <v>0.0073</v>
      </c>
    </row>
    <row r="679" spans="1:15" s="101" customFormat="1" ht="56.25">
      <c r="A679" s="6" t="s">
        <v>1037</v>
      </c>
      <c r="B679" s="13" t="s">
        <v>305</v>
      </c>
      <c r="C679" s="13" t="s">
        <v>1038</v>
      </c>
      <c r="D679" s="13" t="s">
        <v>1039</v>
      </c>
      <c r="E679" s="13" t="s">
        <v>1012</v>
      </c>
      <c r="F679" s="3" t="s">
        <v>1008</v>
      </c>
      <c r="G679" s="13" t="s">
        <v>1040</v>
      </c>
      <c r="H679" s="36">
        <v>10</v>
      </c>
      <c r="I679" s="15">
        <v>680000</v>
      </c>
      <c r="J679" s="15">
        <v>10749</v>
      </c>
      <c r="K679" s="26">
        <f>J679/I679</f>
        <v>0.01580735294117647</v>
      </c>
      <c r="L679" s="3" t="s">
        <v>1041</v>
      </c>
      <c r="M679" s="3" t="s">
        <v>1042</v>
      </c>
      <c r="N679" s="143">
        <f>1414400/680000</f>
        <v>2.08</v>
      </c>
      <c r="O679" s="137">
        <f>K679/N679</f>
        <v>0.0075996889140271485</v>
      </c>
    </row>
    <row r="680" spans="1:15" s="101" customFormat="1" ht="56.25">
      <c r="A680" s="6" t="s">
        <v>1043</v>
      </c>
      <c r="B680" s="13" t="s">
        <v>305</v>
      </c>
      <c r="C680" s="13" t="s">
        <v>1038</v>
      </c>
      <c r="D680" s="13" t="s">
        <v>1044</v>
      </c>
      <c r="E680" s="13" t="s">
        <v>1012</v>
      </c>
      <c r="F680" s="3" t="s">
        <v>1008</v>
      </c>
      <c r="G680" s="13" t="s">
        <v>1045</v>
      </c>
      <c r="H680" s="36">
        <v>10</v>
      </c>
      <c r="I680" s="15">
        <v>1540000</v>
      </c>
      <c r="J680" s="15">
        <v>24344</v>
      </c>
      <c r="K680" s="26">
        <f>J680/I680</f>
        <v>0.015807792207792208</v>
      </c>
      <c r="L680" s="3" t="s">
        <v>1041</v>
      </c>
      <c r="M680" s="3" t="s">
        <v>1042</v>
      </c>
      <c r="N680" s="143">
        <f>3203200/1540000</f>
        <v>2.08</v>
      </c>
      <c r="O680" s="137">
        <f>K680/N680</f>
        <v>0.0075999000999001</v>
      </c>
    </row>
    <row r="681" spans="1:15" s="101" customFormat="1" ht="22.5">
      <c r="A681" s="6" t="s">
        <v>327</v>
      </c>
      <c r="B681" s="13" t="s">
        <v>305</v>
      </c>
      <c r="C681" s="13" t="s">
        <v>1038</v>
      </c>
      <c r="D681" s="13" t="s">
        <v>324</v>
      </c>
      <c r="E681" s="13" t="s">
        <v>1012</v>
      </c>
      <c r="F681" s="3" t="s">
        <v>1008</v>
      </c>
      <c r="G681" s="13" t="s">
        <v>328</v>
      </c>
      <c r="H681" s="36">
        <v>10</v>
      </c>
      <c r="I681" s="15">
        <v>100023</v>
      </c>
      <c r="J681" s="15">
        <v>2490.57</v>
      </c>
      <c r="K681" s="26">
        <f>J681/I681</f>
        <v>0.024899973006208574</v>
      </c>
      <c r="L681" s="136" t="s">
        <v>329</v>
      </c>
      <c r="M681" s="3" t="s">
        <v>326</v>
      </c>
      <c r="N681" s="18">
        <f>325074.75/100023</f>
        <v>3.25</v>
      </c>
      <c r="O681" s="16">
        <f>K681/N681</f>
        <v>0.007661530155756485</v>
      </c>
    </row>
    <row r="682" spans="1:15" s="101" customFormat="1" ht="22.5">
      <c r="A682" s="6" t="s">
        <v>334</v>
      </c>
      <c r="B682" s="13" t="s">
        <v>305</v>
      </c>
      <c r="C682" s="13" t="s">
        <v>1038</v>
      </c>
      <c r="D682" s="13" t="s">
        <v>324</v>
      </c>
      <c r="E682" s="13" t="s">
        <v>1012</v>
      </c>
      <c r="F682" s="3" t="s">
        <v>1008</v>
      </c>
      <c r="G682" s="13" t="s">
        <v>335</v>
      </c>
      <c r="H682" s="36">
        <v>10</v>
      </c>
      <c r="I682" s="15">
        <v>128901</v>
      </c>
      <c r="J682" s="15">
        <v>2887.38</v>
      </c>
      <c r="K682" s="26">
        <f>J682/I682</f>
        <v>0.022399981381059884</v>
      </c>
      <c r="L682" s="136" t="s">
        <v>299</v>
      </c>
      <c r="M682" s="3" t="s">
        <v>326</v>
      </c>
      <c r="N682" s="18">
        <f>376390.92/128901</f>
        <v>2.92</v>
      </c>
      <c r="O682" s="16">
        <f>K682/N682</f>
        <v>0.007671226500362974</v>
      </c>
    </row>
    <row r="683" spans="1:15" s="101" customFormat="1" ht="22.5">
      <c r="A683" s="6" t="s">
        <v>332</v>
      </c>
      <c r="B683" s="13" t="s">
        <v>305</v>
      </c>
      <c r="C683" s="13" t="s">
        <v>1038</v>
      </c>
      <c r="D683" s="13" t="s">
        <v>324</v>
      </c>
      <c r="E683" s="13" t="s">
        <v>1012</v>
      </c>
      <c r="F683" s="3" t="s">
        <v>1008</v>
      </c>
      <c r="G683" s="13" t="s">
        <v>333</v>
      </c>
      <c r="H683" s="36">
        <v>10</v>
      </c>
      <c r="I683" s="15">
        <v>537421</v>
      </c>
      <c r="J683" s="15">
        <v>12038.23</v>
      </c>
      <c r="K683" s="26">
        <f>J683/I683</f>
        <v>0.02239999925570456</v>
      </c>
      <c r="L683" s="136" t="s">
        <v>299</v>
      </c>
      <c r="M683" s="3" t="s">
        <v>326</v>
      </c>
      <c r="N683" s="18">
        <f>1569269.32/537421</f>
        <v>2.92</v>
      </c>
      <c r="O683" s="16">
        <f>K683/N683</f>
        <v>0.0076712326218166295</v>
      </c>
    </row>
    <row r="684" spans="1:15" s="101" customFormat="1" ht="22.5">
      <c r="A684" s="6" t="s">
        <v>330</v>
      </c>
      <c r="B684" s="13" t="s">
        <v>305</v>
      </c>
      <c r="C684" s="13" t="s">
        <v>1038</v>
      </c>
      <c r="D684" s="13" t="s">
        <v>324</v>
      </c>
      <c r="E684" s="13" t="s">
        <v>1012</v>
      </c>
      <c r="F684" s="3" t="s">
        <v>1008</v>
      </c>
      <c r="G684" s="13" t="s">
        <v>331</v>
      </c>
      <c r="H684" s="36">
        <v>10</v>
      </c>
      <c r="I684" s="15">
        <v>142630</v>
      </c>
      <c r="J684" s="15">
        <v>3237.7</v>
      </c>
      <c r="K684" s="26">
        <f>J684/I684</f>
        <v>0.022699992988852273</v>
      </c>
      <c r="L684" s="136" t="s">
        <v>329</v>
      </c>
      <c r="M684" s="3" t="s">
        <v>326</v>
      </c>
      <c r="N684" s="18">
        <f>416479.6/142630</f>
        <v>2.92</v>
      </c>
      <c r="O684" s="16">
        <f>K684/N684</f>
        <v>0.0077739702016617375</v>
      </c>
    </row>
    <row r="685" spans="1:15" s="101" customFormat="1" ht="22.5">
      <c r="A685" s="6" t="s">
        <v>1081</v>
      </c>
      <c r="B685" s="13" t="s">
        <v>305</v>
      </c>
      <c r="C685" s="13" t="s">
        <v>1038</v>
      </c>
      <c r="D685" s="13" t="s">
        <v>1082</v>
      </c>
      <c r="E685" s="13" t="s">
        <v>1012</v>
      </c>
      <c r="F685" s="3" t="s">
        <v>1008</v>
      </c>
      <c r="G685" s="13" t="s">
        <v>1083</v>
      </c>
      <c r="H685" s="36">
        <v>10</v>
      </c>
      <c r="I685" s="15">
        <v>3760000</v>
      </c>
      <c r="J685" s="15">
        <v>58656</v>
      </c>
      <c r="K685" s="26">
        <f>J685/I685</f>
        <v>0.0156</v>
      </c>
      <c r="L685" s="136">
        <v>41795</v>
      </c>
      <c r="M685" s="136">
        <v>41827</v>
      </c>
      <c r="N685" s="143">
        <f>7332000/3760000</f>
        <v>1.95</v>
      </c>
      <c r="O685" s="137">
        <f>K685/N685</f>
        <v>0.008</v>
      </c>
    </row>
    <row r="686" spans="1:15" s="101" customFormat="1" ht="22.5">
      <c r="A686" s="6" t="s">
        <v>338</v>
      </c>
      <c r="B686" s="13" t="s">
        <v>305</v>
      </c>
      <c r="C686" s="13" t="s">
        <v>1038</v>
      </c>
      <c r="D686" s="13" t="s">
        <v>324</v>
      </c>
      <c r="E686" s="13" t="s">
        <v>1012</v>
      </c>
      <c r="F686" s="3" t="s">
        <v>1008</v>
      </c>
      <c r="G686" s="13" t="s">
        <v>339</v>
      </c>
      <c r="H686" s="36">
        <v>10</v>
      </c>
      <c r="I686" s="15">
        <v>156300</v>
      </c>
      <c r="J686" s="15">
        <v>4266.99</v>
      </c>
      <c r="K686" s="26">
        <f>J686/I686</f>
        <v>0.027299999999999998</v>
      </c>
      <c r="L686" s="136">
        <v>41712</v>
      </c>
      <c r="M686" s="3" t="s">
        <v>326</v>
      </c>
      <c r="N686" s="18">
        <f>518916/156300</f>
        <v>3.32</v>
      </c>
      <c r="O686" s="16">
        <f>K686/N686</f>
        <v>0.00822289156626506</v>
      </c>
    </row>
    <row r="687" spans="1:15" s="101" customFormat="1" ht="33.75">
      <c r="A687" s="6" t="s">
        <v>336</v>
      </c>
      <c r="B687" s="13" t="s">
        <v>305</v>
      </c>
      <c r="C687" s="13" t="s">
        <v>1038</v>
      </c>
      <c r="D687" s="13" t="s">
        <v>324</v>
      </c>
      <c r="E687" s="13" t="s">
        <v>1012</v>
      </c>
      <c r="F687" s="3" t="s">
        <v>1008</v>
      </c>
      <c r="G687" s="13" t="s">
        <v>337</v>
      </c>
      <c r="H687" s="36">
        <v>10</v>
      </c>
      <c r="I687" s="15">
        <v>211827</v>
      </c>
      <c r="J687" s="15">
        <v>5782.89</v>
      </c>
      <c r="K687" s="26">
        <f>J687/I687</f>
        <v>0.027300060898752285</v>
      </c>
      <c r="L687" s="136" t="s">
        <v>299</v>
      </c>
      <c r="M687" s="3" t="s">
        <v>326</v>
      </c>
      <c r="N687" s="18">
        <f>513693.64/154727</f>
        <v>3.3200000000000003</v>
      </c>
      <c r="O687" s="16">
        <f>K687/N687</f>
        <v>0.008222909909262735</v>
      </c>
    </row>
    <row r="688" spans="1:15" s="101" customFormat="1" ht="22.5">
      <c r="A688" s="6" t="s">
        <v>159</v>
      </c>
      <c r="B688" s="13" t="s">
        <v>305</v>
      </c>
      <c r="C688" s="13" t="s">
        <v>1038</v>
      </c>
      <c r="D688" s="13" t="s">
        <v>160</v>
      </c>
      <c r="E688" s="13" t="s">
        <v>1012</v>
      </c>
      <c r="F688" s="3" t="s">
        <v>1008</v>
      </c>
      <c r="G688" s="13" t="s">
        <v>161</v>
      </c>
      <c r="H688" s="36">
        <v>10</v>
      </c>
      <c r="I688" s="15">
        <v>3900000</v>
      </c>
      <c r="J688" s="15">
        <v>85690.32</v>
      </c>
      <c r="K688" s="26">
        <f>J688/I688</f>
        <v>0.021971876923076925</v>
      </c>
      <c r="L688" s="136">
        <v>41767</v>
      </c>
      <c r="M688" s="136">
        <v>41796</v>
      </c>
      <c r="N688" s="143">
        <f>7839000/3900000</f>
        <v>2.01</v>
      </c>
      <c r="O688" s="137">
        <f>K688/N688</f>
        <v>0.010931282051282054</v>
      </c>
    </row>
    <row r="689" spans="1:15" s="101" customFormat="1" ht="22.5">
      <c r="A689" s="6" t="s">
        <v>323</v>
      </c>
      <c r="B689" s="13" t="s">
        <v>305</v>
      </c>
      <c r="C689" s="13" t="s">
        <v>1038</v>
      </c>
      <c r="D689" s="13" t="s">
        <v>324</v>
      </c>
      <c r="E689" s="13" t="s">
        <v>1012</v>
      </c>
      <c r="F689" s="3" t="s">
        <v>1008</v>
      </c>
      <c r="G689" s="13" t="s">
        <v>325</v>
      </c>
      <c r="H689" s="36">
        <v>10</v>
      </c>
      <c r="I689" s="15">
        <v>773332</v>
      </c>
      <c r="J689" s="15">
        <v>17941.3</v>
      </c>
      <c r="K689" s="26">
        <f>J689/I689</f>
        <v>0.023199996896546372</v>
      </c>
      <c r="L689" s="136" t="s">
        <v>299</v>
      </c>
      <c r="M689" s="3" t="s">
        <v>326</v>
      </c>
      <c r="N689" s="18">
        <f>1577597.28/773332</f>
        <v>2.04</v>
      </c>
      <c r="O689" s="16">
        <f>K689/N689</f>
        <v>0.011372547498307045</v>
      </c>
    </row>
    <row r="690" spans="1:15" ht="11.25">
      <c r="A690" s="6"/>
      <c r="B690" s="13"/>
      <c r="C690" s="13"/>
      <c r="D690" s="13"/>
      <c r="E690" s="13"/>
      <c r="F690" s="3"/>
      <c r="G690" s="13"/>
      <c r="H690" s="36"/>
      <c r="I690" s="15"/>
      <c r="J690" s="15"/>
      <c r="K690" s="26"/>
      <c r="L690" s="136"/>
      <c r="M690" s="136"/>
      <c r="N690" s="18"/>
      <c r="O690" s="16"/>
    </row>
    <row r="691" spans="1:15" ht="11.25">
      <c r="A691" s="6"/>
      <c r="B691" s="13"/>
      <c r="C691" s="13"/>
      <c r="D691" s="13"/>
      <c r="E691" s="13"/>
      <c r="F691" s="3"/>
      <c r="G691" s="13"/>
      <c r="H691" s="36"/>
      <c r="I691" s="15"/>
      <c r="J691" s="15"/>
      <c r="K691" s="26"/>
      <c r="L691" s="136"/>
      <c r="M691" s="136"/>
      <c r="N691" s="18"/>
      <c r="O691" s="16"/>
    </row>
    <row r="692" spans="1:15" ht="11.25">
      <c r="A692" s="6"/>
      <c r="B692" s="13"/>
      <c r="C692" s="13"/>
      <c r="D692" s="13"/>
      <c r="E692" s="13"/>
      <c r="F692" s="3"/>
      <c r="G692" s="13"/>
      <c r="H692" s="36"/>
      <c r="I692" s="15"/>
      <c r="J692" s="15"/>
      <c r="K692" s="26"/>
      <c r="L692" s="136"/>
      <c r="M692" s="136"/>
      <c r="N692" s="18"/>
      <c r="O692" s="16"/>
    </row>
    <row r="693" spans="1:15" ht="11.25">
      <c r="A693" s="6"/>
      <c r="B693" s="13"/>
      <c r="C693" s="13"/>
      <c r="D693" s="13"/>
      <c r="E693" s="13"/>
      <c r="F693" s="3"/>
      <c r="G693" s="13"/>
      <c r="H693" s="36"/>
      <c r="I693" s="15"/>
      <c r="J693" s="15"/>
      <c r="K693" s="26"/>
      <c r="L693" s="136"/>
      <c r="M693" s="136"/>
      <c r="N693" s="18"/>
      <c r="O693" s="16"/>
    </row>
    <row r="694" spans="1:15" ht="11.25">
      <c r="A694" s="6"/>
      <c r="B694" s="13"/>
      <c r="C694" s="13"/>
      <c r="D694" s="13"/>
      <c r="E694" s="13"/>
      <c r="F694" s="3"/>
      <c r="G694" s="13"/>
      <c r="H694" s="36"/>
      <c r="I694" s="15"/>
      <c r="J694" s="15"/>
      <c r="K694" s="26"/>
      <c r="L694" s="136"/>
      <c r="M694" s="3"/>
      <c r="N694" s="18"/>
      <c r="O694" s="16"/>
    </row>
    <row r="695" spans="1:15" ht="11.25">
      <c r="A695" s="6"/>
      <c r="B695" s="13"/>
      <c r="C695" s="13"/>
      <c r="D695" s="13"/>
      <c r="E695" s="13"/>
      <c r="F695" s="3"/>
      <c r="G695" s="13"/>
      <c r="H695" s="36"/>
      <c r="I695" s="15"/>
      <c r="J695" s="15"/>
      <c r="K695" s="26"/>
      <c r="L695" s="136"/>
      <c r="M695" s="3"/>
      <c r="N695" s="18"/>
      <c r="O695" s="16"/>
    </row>
    <row r="696" spans="1:15" ht="11.25">
      <c r="A696" s="6"/>
      <c r="B696" s="13"/>
      <c r="C696" s="13"/>
      <c r="D696" s="13"/>
      <c r="E696" s="13"/>
      <c r="F696" s="3"/>
      <c r="G696" s="13"/>
      <c r="H696" s="36"/>
      <c r="I696" s="15"/>
      <c r="J696" s="15"/>
      <c r="K696" s="26"/>
      <c r="L696" s="136"/>
      <c r="M696" s="3"/>
      <c r="N696" s="18"/>
      <c r="O696" s="16"/>
    </row>
    <row r="697" spans="1:15" ht="11.25">
      <c r="A697" s="6"/>
      <c r="B697" s="13"/>
      <c r="C697" s="13"/>
      <c r="D697" s="13"/>
      <c r="E697" s="13"/>
      <c r="F697" s="3"/>
      <c r="G697" s="13"/>
      <c r="H697" s="36"/>
      <c r="I697" s="15"/>
      <c r="J697" s="15"/>
      <c r="K697" s="26"/>
      <c r="L697" s="136"/>
      <c r="M697" s="3"/>
      <c r="N697" s="18"/>
      <c r="O697" s="16"/>
    </row>
    <row r="698" spans="1:15" ht="11.25">
      <c r="A698" s="6"/>
      <c r="B698" s="13"/>
      <c r="C698" s="13"/>
      <c r="D698" s="13"/>
      <c r="E698" s="13"/>
      <c r="F698" s="3"/>
      <c r="G698" s="13"/>
      <c r="H698" s="36"/>
      <c r="I698" s="15"/>
      <c r="J698" s="15"/>
      <c r="K698" s="26"/>
      <c r="L698" s="136"/>
      <c r="M698" s="3"/>
      <c r="N698" s="18"/>
      <c r="O698" s="16"/>
    </row>
    <row r="699" spans="1:15" ht="12" thickBot="1">
      <c r="A699" s="7"/>
      <c r="B699" s="34"/>
      <c r="C699" s="34"/>
      <c r="D699" s="34"/>
      <c r="E699" s="34"/>
      <c r="F699" s="17"/>
      <c r="G699" s="34"/>
      <c r="H699" s="45"/>
      <c r="I699" s="21"/>
      <c r="J699" s="21"/>
      <c r="K699" s="38"/>
      <c r="L699" s="138"/>
      <c r="M699" s="17"/>
      <c r="N699" s="139"/>
      <c r="O699" s="20"/>
    </row>
    <row r="700" spans="1:11" ht="20.25">
      <c r="A700" s="39"/>
      <c r="B700" s="31"/>
      <c r="C700" s="2"/>
      <c r="D700" s="2"/>
      <c r="E700" s="2"/>
      <c r="F700" s="24"/>
      <c r="G700" s="2"/>
      <c r="H700" s="24"/>
      <c r="I700" s="24"/>
      <c r="J700" s="24"/>
      <c r="K700" s="2"/>
    </row>
    <row r="701" spans="1:11" ht="20.25">
      <c r="A701" s="39"/>
      <c r="B701" s="31"/>
      <c r="C701" s="2"/>
      <c r="D701" s="2"/>
      <c r="E701" s="2"/>
      <c r="F701" s="24"/>
      <c r="G701" s="2"/>
      <c r="H701" s="24"/>
      <c r="I701" s="24"/>
      <c r="J701" s="24"/>
      <c r="K701" s="2"/>
    </row>
    <row r="702" spans="1:11" ht="20.25">
      <c r="A702" s="39"/>
      <c r="B702" s="31"/>
      <c r="C702" s="2"/>
      <c r="D702" s="2"/>
      <c r="E702" s="2"/>
      <c r="F702" s="24"/>
      <c r="G702" s="2"/>
      <c r="H702" s="24"/>
      <c r="I702" s="24"/>
      <c r="J702" s="24"/>
      <c r="K702" s="2"/>
    </row>
    <row r="703" spans="1:11" ht="20.25">
      <c r="A703" s="39"/>
      <c r="B703" s="31"/>
      <c r="C703" s="2"/>
      <c r="D703" s="2"/>
      <c r="E703" s="2"/>
      <c r="F703" s="24"/>
      <c r="G703" s="2"/>
      <c r="H703" s="24"/>
      <c r="I703" s="24"/>
      <c r="J703" s="24"/>
      <c r="K703" s="2"/>
    </row>
    <row r="704" spans="1:11" ht="20.25">
      <c r="A704" s="39"/>
      <c r="B704" s="31"/>
      <c r="C704" s="2"/>
      <c r="D704" s="2"/>
      <c r="E704" s="2"/>
      <c r="F704" s="24"/>
      <c r="G704" s="2"/>
      <c r="H704" s="24"/>
      <c r="I704" s="24"/>
      <c r="J704" s="24"/>
      <c r="K704" s="2"/>
    </row>
    <row r="705" spans="1:11" ht="20.25">
      <c r="A705" s="39"/>
      <c r="B705" s="31"/>
      <c r="C705" s="2"/>
      <c r="D705" s="2"/>
      <c r="E705" s="2"/>
      <c r="F705" s="24"/>
      <c r="G705" s="2"/>
      <c r="H705" s="24"/>
      <c r="I705" s="24"/>
      <c r="J705" s="24"/>
      <c r="K705" s="2"/>
    </row>
    <row r="706" spans="1:11" ht="20.25">
      <c r="A706" s="39"/>
      <c r="B706" s="31"/>
      <c r="C706" s="2"/>
      <c r="D706" s="2"/>
      <c r="E706" s="2"/>
      <c r="F706" s="24"/>
      <c r="G706" s="2"/>
      <c r="H706" s="24"/>
      <c r="I706" s="24"/>
      <c r="J706" s="24"/>
      <c r="K706" s="2"/>
    </row>
    <row r="707" spans="1:11" ht="20.25">
      <c r="A707" s="39"/>
      <c r="B707" s="31"/>
      <c r="C707" s="2"/>
      <c r="D707" s="2"/>
      <c r="E707" s="2"/>
      <c r="F707" s="24"/>
      <c r="G707" s="2"/>
      <c r="H707" s="24"/>
      <c r="I707" s="24"/>
      <c r="J707" s="24"/>
      <c r="K707" s="2"/>
    </row>
    <row r="708" spans="1:11" ht="20.25">
      <c r="A708" s="39"/>
      <c r="B708" s="31"/>
      <c r="C708" s="2"/>
      <c r="D708" s="2"/>
      <c r="E708" s="2"/>
      <c r="F708" s="24"/>
      <c r="G708" s="2"/>
      <c r="H708" s="24"/>
      <c r="I708" s="24"/>
      <c r="J708" s="24"/>
      <c r="K708" s="2"/>
    </row>
    <row r="709" spans="1:11" ht="20.25">
      <c r="A709" s="39"/>
      <c r="B709" s="31"/>
      <c r="C709" s="2"/>
      <c r="D709" s="2"/>
      <c r="E709" s="2"/>
      <c r="F709" s="24"/>
      <c r="G709" s="2"/>
      <c r="H709" s="24"/>
      <c r="I709" s="24"/>
      <c r="J709" s="24"/>
      <c r="K709" s="2"/>
    </row>
    <row r="710" spans="1:11" ht="20.25">
      <c r="A710" s="39"/>
      <c r="B710" s="31"/>
      <c r="C710" s="2"/>
      <c r="D710" s="2"/>
      <c r="E710" s="2"/>
      <c r="F710" s="24"/>
      <c r="G710" s="2"/>
      <c r="H710" s="24"/>
      <c r="I710" s="24"/>
      <c r="J710" s="24"/>
      <c r="K710" s="2"/>
    </row>
    <row r="711" spans="1:11" ht="20.25">
      <c r="A711" s="39"/>
      <c r="B711" s="31"/>
      <c r="C711" s="2"/>
      <c r="D711" s="2"/>
      <c r="E711" s="2"/>
      <c r="F711" s="24"/>
      <c r="G711" s="2"/>
      <c r="H711" s="24"/>
      <c r="I711" s="24"/>
      <c r="J711" s="24"/>
      <c r="K711" s="2"/>
    </row>
    <row r="712" spans="1:11" ht="20.25">
      <c r="A712" s="39"/>
      <c r="B712" s="31"/>
      <c r="C712" s="2"/>
      <c r="D712" s="2"/>
      <c r="E712" s="2"/>
      <c r="F712" s="24"/>
      <c r="G712" s="2"/>
      <c r="H712" s="24"/>
      <c r="I712" s="24"/>
      <c r="J712" s="24"/>
      <c r="K712" s="2"/>
    </row>
    <row r="713" spans="1:11" ht="20.25">
      <c r="A713" s="39"/>
      <c r="B713" s="31"/>
      <c r="C713" s="2"/>
      <c r="D713" s="2"/>
      <c r="E713" s="2"/>
      <c r="F713" s="24"/>
      <c r="G713" s="2"/>
      <c r="H713" s="24"/>
      <c r="I713" s="24"/>
      <c r="J713" s="24"/>
      <c r="K713" s="2"/>
    </row>
    <row r="714" spans="1:11" ht="20.25">
      <c r="A714" s="39"/>
      <c r="B714" s="31"/>
      <c r="C714" s="2"/>
      <c r="D714" s="2"/>
      <c r="E714" s="2"/>
      <c r="F714" s="24"/>
      <c r="G714" s="2"/>
      <c r="H714" s="24"/>
      <c r="I714" s="24"/>
      <c r="J714" s="24"/>
      <c r="K714" s="2"/>
    </row>
    <row r="715" spans="1:11" ht="20.25">
      <c r="A715" s="39"/>
      <c r="B715" s="31"/>
      <c r="C715" s="2"/>
      <c r="D715" s="2"/>
      <c r="E715" s="2"/>
      <c r="F715" s="24"/>
      <c r="G715" s="2"/>
      <c r="H715" s="24"/>
      <c r="I715" s="24"/>
      <c r="J715" s="24"/>
      <c r="K715" s="2"/>
    </row>
    <row r="716" spans="1:11" ht="20.25">
      <c r="A716" s="39"/>
      <c r="B716" s="31"/>
      <c r="C716" s="2"/>
      <c r="D716" s="2"/>
      <c r="E716" s="2"/>
      <c r="F716" s="24"/>
      <c r="G716" s="2"/>
      <c r="H716" s="24"/>
      <c r="I716" s="24"/>
      <c r="J716" s="24"/>
      <c r="K716" s="2"/>
    </row>
    <row r="717" spans="1:11" ht="20.25">
      <c r="A717" s="39"/>
      <c r="B717" s="31"/>
      <c r="C717" s="2"/>
      <c r="D717" s="2"/>
      <c r="E717" s="2"/>
      <c r="F717" s="24"/>
      <c r="G717" s="2"/>
      <c r="H717" s="24"/>
      <c r="I717" s="24"/>
      <c r="J717" s="24"/>
      <c r="K717" s="2"/>
    </row>
    <row r="718" spans="1:11" ht="15.75">
      <c r="A718" s="78" t="s">
        <v>120</v>
      </c>
      <c r="B718" s="31"/>
      <c r="C718" s="2"/>
      <c r="D718" s="2"/>
      <c r="E718" s="2"/>
      <c r="F718" s="24"/>
      <c r="G718" s="2"/>
      <c r="H718" s="24"/>
      <c r="I718" s="24"/>
      <c r="J718" s="24"/>
      <c r="K718" s="2"/>
    </row>
    <row r="719" spans="1:15" s="101" customFormat="1" ht="22.5">
      <c r="A719" s="6" t="s">
        <v>216</v>
      </c>
      <c r="B719" s="13" t="s">
        <v>305</v>
      </c>
      <c r="C719" s="13" t="s">
        <v>217</v>
      </c>
      <c r="D719" s="13" t="s">
        <v>218</v>
      </c>
      <c r="E719" s="13" t="s">
        <v>1012</v>
      </c>
      <c r="F719" s="3" t="s">
        <v>1008</v>
      </c>
      <c r="G719" s="13" t="s">
        <v>219</v>
      </c>
      <c r="H719" s="36">
        <v>3</v>
      </c>
      <c r="I719" s="15">
        <v>895303</v>
      </c>
      <c r="J719" s="15">
        <v>4566.05</v>
      </c>
      <c r="K719" s="26">
        <f>J719/I719</f>
        <v>0.005100005249619403</v>
      </c>
      <c r="L719" s="3" t="s">
        <v>220</v>
      </c>
      <c r="M719" s="3" t="s">
        <v>221</v>
      </c>
      <c r="N719" s="18">
        <f>3044030.2/895303</f>
        <v>3.4000000000000004</v>
      </c>
      <c r="O719" s="141">
        <f>K719/N719</f>
        <v>0.0015000015440057065</v>
      </c>
    </row>
    <row r="720" spans="1:15" s="101" customFormat="1" ht="22.5">
      <c r="A720" s="6" t="s">
        <v>893</v>
      </c>
      <c r="B720" s="13" t="s">
        <v>305</v>
      </c>
      <c r="C720" s="13" t="s">
        <v>217</v>
      </c>
      <c r="D720" s="13" t="s">
        <v>218</v>
      </c>
      <c r="E720" s="13" t="s">
        <v>1012</v>
      </c>
      <c r="F720" s="3" t="s">
        <v>1008</v>
      </c>
      <c r="G720" s="13" t="s">
        <v>894</v>
      </c>
      <c r="H720" s="36">
        <v>3</v>
      </c>
      <c r="I720" s="15">
        <v>90037</v>
      </c>
      <c r="J720" s="15">
        <v>480.8</v>
      </c>
      <c r="K720" s="26">
        <f>J720/I720</f>
        <v>0.005340026877839111</v>
      </c>
      <c r="L720" s="136">
        <v>41725</v>
      </c>
      <c r="M720" s="136" t="s">
        <v>895</v>
      </c>
      <c r="N720" s="18">
        <f>320531.72/90037</f>
        <v>3.5599999999999996</v>
      </c>
      <c r="O720" s="141">
        <f>K720/N720</f>
        <v>0.0015000075499548066</v>
      </c>
    </row>
    <row r="721" spans="1:15" s="101" customFormat="1" ht="22.5">
      <c r="A721" s="6" t="s">
        <v>732</v>
      </c>
      <c r="B721" s="13" t="s">
        <v>305</v>
      </c>
      <c r="C721" s="13" t="s">
        <v>733</v>
      </c>
      <c r="D721" s="13" t="s">
        <v>734</v>
      </c>
      <c r="E721" s="13" t="s">
        <v>1012</v>
      </c>
      <c r="F721" s="3" t="s">
        <v>1008</v>
      </c>
      <c r="G721" s="13" t="s">
        <v>735</v>
      </c>
      <c r="H721" s="36">
        <v>5</v>
      </c>
      <c r="I721" s="15">
        <v>1730964</v>
      </c>
      <c r="J721" s="15">
        <v>129970</v>
      </c>
      <c r="K721" s="26">
        <f>J721/I721</f>
        <v>0.07508532817551376</v>
      </c>
      <c r="L721" s="136" t="s">
        <v>736</v>
      </c>
      <c r="M721" s="3" t="s">
        <v>737</v>
      </c>
      <c r="N721" s="18">
        <f>2146395.36/1730964</f>
        <v>1.24</v>
      </c>
      <c r="O721" s="141">
        <f>K721/N721</f>
        <v>0.0605526840125111</v>
      </c>
    </row>
    <row r="722" spans="1:15" s="101" customFormat="1" ht="22.5">
      <c r="A722" s="6" t="s">
        <v>838</v>
      </c>
      <c r="B722" s="13" t="s">
        <v>305</v>
      </c>
      <c r="C722" s="13" t="s">
        <v>217</v>
      </c>
      <c r="D722" s="13" t="s">
        <v>231</v>
      </c>
      <c r="E722" s="13" t="s">
        <v>1012</v>
      </c>
      <c r="F722" s="3" t="s">
        <v>1107</v>
      </c>
      <c r="G722" s="13" t="s">
        <v>839</v>
      </c>
      <c r="H722" s="36">
        <v>5</v>
      </c>
      <c r="I722" s="15">
        <v>493078</v>
      </c>
      <c r="J722" s="15">
        <v>8246.49</v>
      </c>
      <c r="K722" s="26">
        <f>J722/I722</f>
        <v>0.016724514174228013</v>
      </c>
      <c r="L722" s="136">
        <v>41845</v>
      </c>
      <c r="M722" s="136">
        <v>41883</v>
      </c>
      <c r="N722" s="18">
        <f>2179404.76/493078</f>
        <v>4.42</v>
      </c>
      <c r="O722" s="141">
        <f>K722/N722</f>
        <v>0.0037838267362506816</v>
      </c>
    </row>
    <row r="723" spans="1:15" s="101" customFormat="1" ht="22.5">
      <c r="A723" s="6" t="s">
        <v>840</v>
      </c>
      <c r="B723" s="13" t="s">
        <v>305</v>
      </c>
      <c r="C723" s="13" t="s">
        <v>217</v>
      </c>
      <c r="D723" s="13" t="s">
        <v>231</v>
      </c>
      <c r="E723" s="13" t="s">
        <v>1012</v>
      </c>
      <c r="F723" s="3" t="s">
        <v>1107</v>
      </c>
      <c r="G723" s="13" t="s">
        <v>841</v>
      </c>
      <c r="H723" s="36">
        <v>5</v>
      </c>
      <c r="I723" s="15">
        <v>260616</v>
      </c>
      <c r="J723" s="15">
        <v>4358.68</v>
      </c>
      <c r="K723" s="26">
        <f>J723/I723</f>
        <v>0.016724529576081285</v>
      </c>
      <c r="L723" s="136">
        <v>41845</v>
      </c>
      <c r="M723" s="136">
        <v>41883</v>
      </c>
      <c r="N723" s="18">
        <f>1151922.72/260616</f>
        <v>4.42</v>
      </c>
      <c r="O723" s="141">
        <f>K723/N723</f>
        <v>0.00378383022083287</v>
      </c>
    </row>
    <row r="724" spans="1:15" s="101" customFormat="1" ht="22.5">
      <c r="A724" s="6" t="s">
        <v>230</v>
      </c>
      <c r="B724" s="13" t="s">
        <v>305</v>
      </c>
      <c r="C724" s="13" t="s">
        <v>217</v>
      </c>
      <c r="D724" s="13" t="s">
        <v>231</v>
      </c>
      <c r="E724" s="13" t="s">
        <v>1012</v>
      </c>
      <c r="F724" s="3" t="s">
        <v>1107</v>
      </c>
      <c r="G724" s="13" t="s">
        <v>232</v>
      </c>
      <c r="H724" s="36">
        <v>5</v>
      </c>
      <c r="I724" s="15">
        <v>878666</v>
      </c>
      <c r="J724" s="15">
        <v>14695.28</v>
      </c>
      <c r="K724" s="26">
        <f>J724/I724</f>
        <v>0.016724534692363197</v>
      </c>
      <c r="L724" s="136">
        <v>41845</v>
      </c>
      <c r="M724" s="3" t="s">
        <v>233</v>
      </c>
      <c r="N724" s="18">
        <f>3883703.72/878666</f>
        <v>4.42</v>
      </c>
      <c r="O724" s="141">
        <f>K724/N724</f>
        <v>0.0037838313783627145</v>
      </c>
    </row>
    <row r="725" spans="1:15" s="101" customFormat="1" ht="33.75">
      <c r="A725" s="6" t="s">
        <v>678</v>
      </c>
      <c r="B725" s="13" t="s">
        <v>305</v>
      </c>
      <c r="C725" s="13" t="s">
        <v>174</v>
      </c>
      <c r="D725" s="13" t="s">
        <v>679</v>
      </c>
      <c r="E725" s="13" t="s">
        <v>1012</v>
      </c>
      <c r="F725" s="3" t="s">
        <v>680</v>
      </c>
      <c r="G725" s="13" t="s">
        <v>681</v>
      </c>
      <c r="H725" s="36">
        <v>5</v>
      </c>
      <c r="I725" s="15">
        <v>13791342</v>
      </c>
      <c r="J725" s="15">
        <v>408000</v>
      </c>
      <c r="K725" s="26">
        <f>J725/I725</f>
        <v>0.029583777996369028</v>
      </c>
      <c r="L725" s="136">
        <v>41746</v>
      </c>
      <c r="M725" s="3" t="s">
        <v>409</v>
      </c>
      <c r="N725" s="18">
        <f>38339930.76/13791342</f>
        <v>2.78</v>
      </c>
      <c r="O725" s="141">
        <f>K725/N725</f>
        <v>0.010641646761283824</v>
      </c>
    </row>
    <row r="726" spans="1:15" s="101" customFormat="1" ht="45">
      <c r="A726" s="6" t="s">
        <v>137</v>
      </c>
      <c r="B726" s="13" t="s">
        <v>305</v>
      </c>
      <c r="C726" s="13" t="s">
        <v>1038</v>
      </c>
      <c r="D726" s="13" t="s">
        <v>138</v>
      </c>
      <c r="E726" s="13" t="s">
        <v>1012</v>
      </c>
      <c r="F726" s="3" t="s">
        <v>139</v>
      </c>
      <c r="G726" s="13" t="s">
        <v>140</v>
      </c>
      <c r="H726" s="36">
        <v>10</v>
      </c>
      <c r="I726" s="15">
        <v>4287255</v>
      </c>
      <c r="J726" s="15">
        <v>175777</v>
      </c>
      <c r="K726" s="26">
        <f>J726/I726</f>
        <v>0.04099989387148653</v>
      </c>
      <c r="L726" s="136">
        <v>41677</v>
      </c>
      <c r="M726" s="136">
        <v>41711</v>
      </c>
      <c r="N726" s="18">
        <f>8403019.8/4287255</f>
        <v>1.9600000000000002</v>
      </c>
      <c r="O726" s="141">
        <f>K726/N726</f>
        <v>0.020918313199738026</v>
      </c>
    </row>
    <row r="727" spans="1:15" s="101" customFormat="1" ht="22.5">
      <c r="A727" s="6" t="s">
        <v>173</v>
      </c>
      <c r="B727" s="13" t="s">
        <v>305</v>
      </c>
      <c r="C727" s="13" t="s">
        <v>174</v>
      </c>
      <c r="D727" s="13" t="s">
        <v>175</v>
      </c>
      <c r="E727" s="13" t="s">
        <v>1012</v>
      </c>
      <c r="F727" s="3" t="s">
        <v>1008</v>
      </c>
      <c r="G727" s="13" t="s">
        <v>176</v>
      </c>
      <c r="H727" s="3">
        <v>25</v>
      </c>
      <c r="I727" s="15">
        <v>33000</v>
      </c>
      <c r="J727" s="15">
        <v>3400</v>
      </c>
      <c r="K727" s="26">
        <f>J727/I727</f>
        <v>0.10303030303030303</v>
      </c>
      <c r="L727" s="136">
        <v>41808</v>
      </c>
      <c r="M727" s="3" t="s">
        <v>177</v>
      </c>
      <c r="N727" s="18">
        <f>91740/33000</f>
        <v>2.78</v>
      </c>
      <c r="O727" s="141">
        <f>K727/N727</f>
        <v>0.03706126008284282</v>
      </c>
    </row>
    <row r="728" spans="1:15" s="101" customFormat="1" ht="33.75">
      <c r="A728" s="6" t="s">
        <v>870</v>
      </c>
      <c r="B728" s="13" t="s">
        <v>305</v>
      </c>
      <c r="C728" s="13" t="s">
        <v>174</v>
      </c>
      <c r="D728" s="13" t="s">
        <v>871</v>
      </c>
      <c r="E728" s="13" t="s">
        <v>1012</v>
      </c>
      <c r="F728" s="3" t="s">
        <v>1172</v>
      </c>
      <c r="G728" s="13" t="s">
        <v>872</v>
      </c>
      <c r="H728" s="36">
        <v>10</v>
      </c>
      <c r="I728" s="15">
        <v>366412</v>
      </c>
      <c r="J728" s="15">
        <v>44108.04</v>
      </c>
      <c r="K728" s="26">
        <f>J728/I728</f>
        <v>0.12037826272065326</v>
      </c>
      <c r="L728" s="136">
        <v>41725</v>
      </c>
      <c r="M728" s="136">
        <v>41758</v>
      </c>
      <c r="N728" s="18">
        <f>487327.96/366412</f>
        <v>1.33</v>
      </c>
      <c r="O728" s="141">
        <f>K728/N728</f>
        <v>0.09050997197041598</v>
      </c>
    </row>
    <row r="729" spans="1:15" s="101" customFormat="1" ht="33.75">
      <c r="A729" s="6" t="s">
        <v>858</v>
      </c>
      <c r="B729" s="13" t="s">
        <v>305</v>
      </c>
      <c r="C729" s="13" t="s">
        <v>174</v>
      </c>
      <c r="D729" s="13" t="s">
        <v>859</v>
      </c>
      <c r="E729" s="13" t="s">
        <v>1012</v>
      </c>
      <c r="F729" s="3" t="s">
        <v>1172</v>
      </c>
      <c r="G729" s="13" t="s">
        <v>860</v>
      </c>
      <c r="H729" s="36">
        <v>10</v>
      </c>
      <c r="I729" s="15">
        <v>2340993</v>
      </c>
      <c r="J729" s="15">
        <v>281804.88</v>
      </c>
      <c r="K729" s="26">
        <f>J729/I729</f>
        <v>0.1203783522633344</v>
      </c>
      <c r="L729" s="136">
        <v>41725</v>
      </c>
      <c r="M729" s="136" t="s">
        <v>861</v>
      </c>
      <c r="N729" s="18">
        <f>3113520.69/2340993</f>
        <v>1.33</v>
      </c>
      <c r="O729" s="141">
        <f>K729/N729</f>
        <v>0.09051003929574016</v>
      </c>
    </row>
    <row r="730" spans="1:15" s="101" customFormat="1" ht="33.75">
      <c r="A730" s="6" t="s">
        <v>862</v>
      </c>
      <c r="B730" s="13" t="s">
        <v>305</v>
      </c>
      <c r="C730" s="13" t="s">
        <v>174</v>
      </c>
      <c r="D730" s="13" t="s">
        <v>859</v>
      </c>
      <c r="E730" s="13" t="s">
        <v>1012</v>
      </c>
      <c r="F730" s="3" t="s">
        <v>1172</v>
      </c>
      <c r="G730" s="13" t="s">
        <v>863</v>
      </c>
      <c r="H730" s="36">
        <v>10</v>
      </c>
      <c r="I730" s="15">
        <v>1757938</v>
      </c>
      <c r="J730" s="15">
        <v>211617.72</v>
      </c>
      <c r="K730" s="26">
        <f>J730/I730</f>
        <v>0.1203783751190315</v>
      </c>
      <c r="L730" s="136" t="s">
        <v>864</v>
      </c>
      <c r="M730" s="136">
        <v>41758</v>
      </c>
      <c r="N730" s="18">
        <f>2338057.54/1757938</f>
        <v>1.33</v>
      </c>
      <c r="O730" s="141">
        <f>K730/N730</f>
        <v>0.0905100564804748</v>
      </c>
    </row>
    <row r="731" spans="1:15" s="101" customFormat="1" ht="33.75">
      <c r="A731" s="6" t="s">
        <v>867</v>
      </c>
      <c r="B731" s="13" t="s">
        <v>305</v>
      </c>
      <c r="C731" s="13" t="s">
        <v>174</v>
      </c>
      <c r="D731" s="13" t="s">
        <v>868</v>
      </c>
      <c r="E731" s="13" t="s">
        <v>1012</v>
      </c>
      <c r="F731" s="3" t="s">
        <v>1172</v>
      </c>
      <c r="G731" s="13" t="s">
        <v>869</v>
      </c>
      <c r="H731" s="36">
        <v>10</v>
      </c>
      <c r="I731" s="15">
        <v>568312</v>
      </c>
      <c r="J731" s="15">
        <v>68412.48</v>
      </c>
      <c r="K731" s="26">
        <f>J731/I731</f>
        <v>0.12037838370472556</v>
      </c>
      <c r="L731" s="136">
        <v>41725</v>
      </c>
      <c r="M731" s="136">
        <v>41758</v>
      </c>
      <c r="N731" s="18">
        <f>755854.96/568312</f>
        <v>1.3299999999999998</v>
      </c>
      <c r="O731" s="141">
        <f>K731/N731</f>
        <v>0.09051006293588389</v>
      </c>
    </row>
    <row r="732" spans="1:15" s="101" customFormat="1" ht="33.75">
      <c r="A732" s="6" t="s">
        <v>873</v>
      </c>
      <c r="B732" s="13" t="s">
        <v>305</v>
      </c>
      <c r="C732" s="13" t="s">
        <v>174</v>
      </c>
      <c r="D732" s="13" t="s">
        <v>874</v>
      </c>
      <c r="E732" s="13" t="s">
        <v>1012</v>
      </c>
      <c r="F732" s="3" t="s">
        <v>1172</v>
      </c>
      <c r="G732" s="13" t="s">
        <v>875</v>
      </c>
      <c r="H732" s="36">
        <v>10</v>
      </c>
      <c r="I732" s="15">
        <v>1266630</v>
      </c>
      <c r="J732" s="15">
        <v>152474.88</v>
      </c>
      <c r="K732" s="26">
        <f>J732/I732</f>
        <v>0.12037838990076029</v>
      </c>
      <c r="L732" s="136">
        <v>41725</v>
      </c>
      <c r="M732" s="136">
        <v>41758</v>
      </c>
      <c r="N732" s="18">
        <f>1684617.9/1266630</f>
        <v>1.3299999999999998</v>
      </c>
      <c r="O732" s="141">
        <f>K732/N732</f>
        <v>0.09051006759455661</v>
      </c>
    </row>
    <row r="733" spans="1:15" s="101" customFormat="1" ht="22.5">
      <c r="A733" s="6" t="s">
        <v>865</v>
      </c>
      <c r="B733" s="13" t="s">
        <v>305</v>
      </c>
      <c r="C733" s="13" t="s">
        <v>174</v>
      </c>
      <c r="D733" s="13" t="s">
        <v>859</v>
      </c>
      <c r="E733" s="13" t="s">
        <v>1012</v>
      </c>
      <c r="F733" s="3" t="s">
        <v>1107</v>
      </c>
      <c r="G733" s="13" t="s">
        <v>866</v>
      </c>
      <c r="H733" s="36">
        <v>10</v>
      </c>
      <c r="I733" s="15">
        <v>721734</v>
      </c>
      <c r="J733" s="15">
        <v>86881.2</v>
      </c>
      <c r="K733" s="26">
        <f>J733/I733</f>
        <v>0.1203784219670959</v>
      </c>
      <c r="L733" s="136">
        <v>41725</v>
      </c>
      <c r="M733" s="136">
        <v>41758</v>
      </c>
      <c r="N733" s="18">
        <f>959906.22/721734</f>
        <v>1.33</v>
      </c>
      <c r="O733" s="141">
        <f>K733/N733</f>
        <v>0.09051009170458338</v>
      </c>
    </row>
    <row r="734" spans="1:15" s="101" customFormat="1" ht="22.5">
      <c r="A734" s="6" t="s">
        <v>301</v>
      </c>
      <c r="B734" s="13" t="s">
        <v>305</v>
      </c>
      <c r="C734" s="13" t="s">
        <v>174</v>
      </c>
      <c r="D734" s="13" t="s">
        <v>302</v>
      </c>
      <c r="E734" s="13" t="s">
        <v>1012</v>
      </c>
      <c r="F734" s="3" t="s">
        <v>1008</v>
      </c>
      <c r="G734" s="13" t="s">
        <v>303</v>
      </c>
      <c r="H734" s="3">
        <v>10</v>
      </c>
      <c r="I734" s="15">
        <v>3424800</v>
      </c>
      <c r="J734" s="15">
        <v>346000</v>
      </c>
      <c r="K734" s="26">
        <f>J734/I734</f>
        <v>0.10102779724363467</v>
      </c>
      <c r="L734" s="136">
        <v>41711</v>
      </c>
      <c r="M734" s="136">
        <v>41747</v>
      </c>
      <c r="N734" s="18">
        <f>11779241.12/3424198</f>
        <v>3.44</v>
      </c>
      <c r="O734" s="141">
        <f>K734/N734</f>
        <v>0.029368545710358917</v>
      </c>
    </row>
    <row r="735" spans="1:15" s="101" customFormat="1" ht="22.5">
      <c r="A735" s="6" t="s">
        <v>778</v>
      </c>
      <c r="B735" s="13" t="s">
        <v>305</v>
      </c>
      <c r="C735" s="13" t="s">
        <v>174</v>
      </c>
      <c r="D735" s="13" t="s">
        <v>302</v>
      </c>
      <c r="E735" s="13" t="s">
        <v>1012</v>
      </c>
      <c r="F735" s="3" t="s">
        <v>1008</v>
      </c>
      <c r="G735" s="13" t="s">
        <v>779</v>
      </c>
      <c r="H735" s="36">
        <v>10</v>
      </c>
      <c r="I735" s="15">
        <v>433200</v>
      </c>
      <c r="J735" s="15">
        <v>52000</v>
      </c>
      <c r="K735" s="26">
        <f>J735/I735</f>
        <v>0.12003693444136658</v>
      </c>
      <c r="L735" s="136">
        <v>41752</v>
      </c>
      <c r="M735" s="3" t="s">
        <v>346</v>
      </c>
      <c r="N735" s="18">
        <f>1490208/433200</f>
        <v>3.44</v>
      </c>
      <c r="O735" s="141">
        <f>K735/N735</f>
        <v>0.034894457686443774</v>
      </c>
    </row>
    <row r="736" spans="1:11" ht="20.25">
      <c r="A736" s="39"/>
      <c r="B736" s="31"/>
      <c r="C736" s="2"/>
      <c r="D736" s="2"/>
      <c r="E736" s="2"/>
      <c r="F736" s="24"/>
      <c r="G736" s="2"/>
      <c r="H736" s="24"/>
      <c r="I736" s="24"/>
      <c r="J736" s="24"/>
      <c r="K736" s="2"/>
    </row>
    <row r="737" spans="1:11" ht="20.25">
      <c r="A737" s="39"/>
      <c r="B737" s="31"/>
      <c r="C737" s="2"/>
      <c r="D737" s="2"/>
      <c r="E737" s="2"/>
      <c r="F737" s="24"/>
      <c r="G737" s="2"/>
      <c r="H737" s="24"/>
      <c r="I737" s="24"/>
      <c r="J737" s="24"/>
      <c r="K737" s="2"/>
    </row>
    <row r="738" spans="1:11" ht="20.25">
      <c r="A738" s="39"/>
      <c r="B738" s="31"/>
      <c r="C738" s="2"/>
      <c r="D738" s="2"/>
      <c r="E738" s="2"/>
      <c r="F738" s="24"/>
      <c r="G738" s="2"/>
      <c r="H738" s="24"/>
      <c r="I738" s="24"/>
      <c r="J738" s="24"/>
      <c r="K738" s="2"/>
    </row>
    <row r="739" spans="1:11" ht="21" thickBot="1">
      <c r="A739" s="39" t="s">
        <v>314</v>
      </c>
      <c r="C739" s="2"/>
      <c r="D739" s="2"/>
      <c r="E739" s="2"/>
      <c r="F739" s="24"/>
      <c r="G739" s="2"/>
      <c r="H739" s="24"/>
      <c r="I739" s="24"/>
      <c r="J739" s="24"/>
      <c r="K739" s="2"/>
    </row>
    <row r="740" spans="1:15" ht="33.75">
      <c r="A740" s="9"/>
      <c r="B740" s="10" t="s">
        <v>123</v>
      </c>
      <c r="C740" s="10" t="s">
        <v>304</v>
      </c>
      <c r="D740" s="10" t="s">
        <v>1004</v>
      </c>
      <c r="E740" s="10" t="s">
        <v>1013</v>
      </c>
      <c r="F740" s="10" t="s">
        <v>1005</v>
      </c>
      <c r="G740" s="10" t="s">
        <v>1014</v>
      </c>
      <c r="H740" s="10" t="s">
        <v>1016</v>
      </c>
      <c r="I740" s="10" t="s">
        <v>1003</v>
      </c>
      <c r="J740" s="10" t="s">
        <v>1018</v>
      </c>
      <c r="K740" s="10" t="s">
        <v>1007</v>
      </c>
      <c r="L740" s="10" t="s">
        <v>1019</v>
      </c>
      <c r="M740" s="10" t="s">
        <v>1020</v>
      </c>
      <c r="N740" s="32" t="s">
        <v>1051</v>
      </c>
      <c r="O740" s="33" t="s">
        <v>1052</v>
      </c>
    </row>
    <row r="741" spans="1:15" s="101" customFormat="1" ht="33.75">
      <c r="A741" s="6" t="s">
        <v>682</v>
      </c>
      <c r="B741" s="13" t="s">
        <v>311</v>
      </c>
      <c r="C741" s="13" t="s">
        <v>1031</v>
      </c>
      <c r="D741" s="13" t="s">
        <v>683</v>
      </c>
      <c r="E741" s="13" t="s">
        <v>1012</v>
      </c>
      <c r="F741" s="3" t="s">
        <v>1087</v>
      </c>
      <c r="G741" s="13" t="s">
        <v>684</v>
      </c>
      <c r="H741" s="3">
        <v>49</v>
      </c>
      <c r="I741" s="15">
        <v>27000</v>
      </c>
      <c r="J741" s="15">
        <v>11880</v>
      </c>
      <c r="K741" s="26">
        <f>J741/I741</f>
        <v>0.44</v>
      </c>
      <c r="L741" s="136">
        <v>41837</v>
      </c>
      <c r="M741" s="136">
        <v>41869</v>
      </c>
      <c r="N741" s="18">
        <f>43470/27000</f>
        <v>1.61</v>
      </c>
      <c r="O741" s="141">
        <f>K741/N741</f>
        <v>0.27329192546583847</v>
      </c>
    </row>
    <row r="742" spans="1:15" s="101" customFormat="1" ht="22.5">
      <c r="A742" s="6" t="s">
        <v>721</v>
      </c>
      <c r="B742" s="13" t="s">
        <v>311</v>
      </c>
      <c r="C742" s="13" t="s">
        <v>222</v>
      </c>
      <c r="D742" s="13" t="s">
        <v>722</v>
      </c>
      <c r="E742" s="13" t="s">
        <v>1012</v>
      </c>
      <c r="F742" s="3" t="s">
        <v>1107</v>
      </c>
      <c r="G742" s="13" t="s">
        <v>723</v>
      </c>
      <c r="H742" s="36">
        <v>10</v>
      </c>
      <c r="I742" s="15">
        <v>10000</v>
      </c>
      <c r="J742" s="15">
        <v>17569</v>
      </c>
      <c r="K742" s="26">
        <f>J742/I742</f>
        <v>1.7569</v>
      </c>
      <c r="L742" s="136" t="s">
        <v>724</v>
      </c>
      <c r="M742" s="3" t="s">
        <v>725</v>
      </c>
      <c r="N742" s="18">
        <f>36900/10000</f>
        <v>3.69</v>
      </c>
      <c r="O742" s="141">
        <f>K742/N742</f>
        <v>0.47612466124661246</v>
      </c>
    </row>
    <row r="743" spans="1:15" s="101" customFormat="1" ht="23.25" thickBot="1">
      <c r="A743" s="7" t="s">
        <v>726</v>
      </c>
      <c r="B743" s="34" t="s">
        <v>311</v>
      </c>
      <c r="C743" s="34" t="s">
        <v>222</v>
      </c>
      <c r="D743" s="34" t="s">
        <v>722</v>
      </c>
      <c r="E743" s="34" t="s">
        <v>1012</v>
      </c>
      <c r="F743" s="17" t="s">
        <v>727</v>
      </c>
      <c r="G743" s="34" t="s">
        <v>728</v>
      </c>
      <c r="H743" s="45">
        <v>10</v>
      </c>
      <c r="I743" s="21">
        <v>10650</v>
      </c>
      <c r="J743" s="21">
        <v>18611</v>
      </c>
      <c r="K743" s="38">
        <f>J743/I743</f>
        <v>1.747511737089202</v>
      </c>
      <c r="L743" s="138" t="s">
        <v>724</v>
      </c>
      <c r="M743" s="17" t="s">
        <v>725</v>
      </c>
      <c r="N743" s="139">
        <f>39298.5/10650</f>
        <v>3.69</v>
      </c>
      <c r="O743" s="142">
        <f>K743/N743</f>
        <v>0.4735804165553393</v>
      </c>
    </row>
    <row r="744" spans="1:11" ht="20.25">
      <c r="A744" s="39"/>
      <c r="B744" s="31"/>
      <c r="C744" s="2"/>
      <c r="D744" s="2"/>
      <c r="E744" s="2"/>
      <c r="F744" s="24"/>
      <c r="G744" s="2"/>
      <c r="H744" s="24"/>
      <c r="I744" s="24"/>
      <c r="J744" s="24"/>
      <c r="K744" s="2"/>
    </row>
    <row r="745" spans="1:11" ht="21" thickBot="1">
      <c r="A745" s="39" t="s">
        <v>914</v>
      </c>
      <c r="B745" s="31"/>
      <c r="C745" s="2"/>
      <c r="D745" s="2"/>
      <c r="E745" s="2"/>
      <c r="F745" s="24"/>
      <c r="G745" s="2"/>
      <c r="H745" s="24"/>
      <c r="I745" s="24"/>
      <c r="J745" s="24"/>
      <c r="K745" s="2"/>
    </row>
    <row r="746" spans="1:15" ht="33.75">
      <c r="A746" s="9"/>
      <c r="B746" s="10" t="s">
        <v>123</v>
      </c>
      <c r="C746" s="10" t="s">
        <v>304</v>
      </c>
      <c r="D746" s="10" t="s">
        <v>1004</v>
      </c>
      <c r="E746" s="10" t="s">
        <v>1013</v>
      </c>
      <c r="F746" s="10" t="s">
        <v>1005</v>
      </c>
      <c r="G746" s="10" t="s">
        <v>1014</v>
      </c>
      <c r="H746" s="10" t="s">
        <v>1016</v>
      </c>
      <c r="I746" s="10" t="s">
        <v>1003</v>
      </c>
      <c r="J746" s="10" t="s">
        <v>1018</v>
      </c>
      <c r="K746" s="10" t="s">
        <v>1007</v>
      </c>
      <c r="L746" s="10" t="s">
        <v>1019</v>
      </c>
      <c r="M746" s="10" t="s">
        <v>1020</v>
      </c>
      <c r="N746" s="32" t="s">
        <v>1051</v>
      </c>
      <c r="O746" s="33" t="s">
        <v>1052</v>
      </c>
    </row>
    <row r="747" spans="1:15" s="101" customFormat="1" ht="22.5">
      <c r="A747" s="6" t="s">
        <v>114</v>
      </c>
      <c r="B747" s="63" t="s">
        <v>312</v>
      </c>
      <c r="C747" s="13" t="s">
        <v>916</v>
      </c>
      <c r="D747" s="13" t="s">
        <v>106</v>
      </c>
      <c r="E747" s="13" t="s">
        <v>1012</v>
      </c>
      <c r="F747" s="3" t="s">
        <v>1107</v>
      </c>
      <c r="G747" s="13" t="s">
        <v>115</v>
      </c>
      <c r="H747" s="58">
        <v>25</v>
      </c>
      <c r="I747" s="15">
        <v>658000</v>
      </c>
      <c r="J747" s="15">
        <v>32900</v>
      </c>
      <c r="K747" s="26">
        <f>J747/I747</f>
        <v>0.05</v>
      </c>
      <c r="L747" s="136">
        <v>41950</v>
      </c>
      <c r="M747" s="136" t="s">
        <v>605</v>
      </c>
      <c r="N747" s="18">
        <f>1477583.9/212602</f>
        <v>6.949999999999999</v>
      </c>
      <c r="O747" s="137">
        <f>K747/N747</f>
        <v>0.007194244604316548</v>
      </c>
    </row>
    <row r="748" spans="1:15" s="101" customFormat="1" ht="56.25">
      <c r="A748" s="6" t="s">
        <v>105</v>
      </c>
      <c r="B748" s="63" t="s">
        <v>312</v>
      </c>
      <c r="C748" s="13" t="s">
        <v>916</v>
      </c>
      <c r="D748" s="13" t="s">
        <v>106</v>
      </c>
      <c r="E748" s="13" t="s">
        <v>1012</v>
      </c>
      <c r="F748" s="3" t="s">
        <v>107</v>
      </c>
      <c r="G748" s="13" t="s">
        <v>108</v>
      </c>
      <c r="H748" s="58">
        <v>25</v>
      </c>
      <c r="I748" s="15">
        <v>6063000</v>
      </c>
      <c r="J748" s="15">
        <v>303150</v>
      </c>
      <c r="K748" s="26">
        <f>J748/I748</f>
        <v>0.05</v>
      </c>
      <c r="L748" s="136">
        <v>41950</v>
      </c>
      <c r="M748" s="136" t="s">
        <v>605</v>
      </c>
      <c r="N748" s="18">
        <f>1977048.18/339699</f>
        <v>5.819999999999999</v>
      </c>
      <c r="O748" s="137">
        <f>K748/N748</f>
        <v>0.00859106529209622</v>
      </c>
    </row>
    <row r="749" spans="1:15" s="101" customFormat="1" ht="157.5">
      <c r="A749" s="6" t="s">
        <v>109</v>
      </c>
      <c r="B749" s="63" t="s">
        <v>312</v>
      </c>
      <c r="C749" s="13" t="s">
        <v>916</v>
      </c>
      <c r="D749" s="13" t="s">
        <v>110</v>
      </c>
      <c r="E749" s="13" t="s">
        <v>1012</v>
      </c>
      <c r="F749" s="3" t="s">
        <v>1107</v>
      </c>
      <c r="G749" s="13" t="s">
        <v>111</v>
      </c>
      <c r="H749" s="58">
        <v>25</v>
      </c>
      <c r="I749" s="15">
        <v>4277000</v>
      </c>
      <c r="J749" s="15">
        <v>213850</v>
      </c>
      <c r="K749" s="26">
        <f>J749/I749</f>
        <v>0.05</v>
      </c>
      <c r="L749" s="136">
        <v>41950</v>
      </c>
      <c r="M749" s="136" t="s">
        <v>605</v>
      </c>
      <c r="N749" s="18">
        <f>596082.5/183410</f>
        <v>3.25</v>
      </c>
      <c r="O749" s="137">
        <f>K749/N749</f>
        <v>0.015384615384615385</v>
      </c>
    </row>
    <row r="750" spans="1:15" s="101" customFormat="1" ht="78.75">
      <c r="A750" s="6" t="s">
        <v>112</v>
      </c>
      <c r="B750" s="63" t="s">
        <v>312</v>
      </c>
      <c r="C750" s="13" t="s">
        <v>916</v>
      </c>
      <c r="D750" s="13" t="s">
        <v>110</v>
      </c>
      <c r="E750" s="13" t="s">
        <v>1012</v>
      </c>
      <c r="F750" s="3" t="s">
        <v>1107</v>
      </c>
      <c r="G750" s="13" t="s">
        <v>113</v>
      </c>
      <c r="H750" s="58">
        <v>25</v>
      </c>
      <c r="I750" s="15">
        <v>1688000</v>
      </c>
      <c r="J750" s="15">
        <v>84400</v>
      </c>
      <c r="K750" s="26">
        <f>J750/I750</f>
        <v>0.05</v>
      </c>
      <c r="L750" s="136">
        <v>41950</v>
      </c>
      <c r="M750" s="136" t="s">
        <v>605</v>
      </c>
      <c r="N750" s="18">
        <f>557416.32/190896</f>
        <v>2.92</v>
      </c>
      <c r="O750" s="137">
        <f>K750/N750</f>
        <v>0.01712328767123288</v>
      </c>
    </row>
    <row r="751" spans="1:15" s="101" customFormat="1" ht="11.25">
      <c r="A751" s="6"/>
      <c r="B751" s="63"/>
      <c r="C751" s="13"/>
      <c r="D751" s="13"/>
      <c r="E751" s="13"/>
      <c r="F751" s="3"/>
      <c r="G751" s="13"/>
      <c r="H751" s="36"/>
      <c r="I751" s="15"/>
      <c r="J751" s="15"/>
      <c r="K751" s="26"/>
      <c r="L751" s="136"/>
      <c r="M751" s="136"/>
      <c r="N751" s="18"/>
      <c r="O751" s="137"/>
    </row>
    <row r="752" spans="1:15" s="101" customFormat="1" ht="12" thickBot="1">
      <c r="A752" s="7"/>
      <c r="B752" s="34"/>
      <c r="C752" s="34"/>
      <c r="D752" s="34"/>
      <c r="E752" s="34"/>
      <c r="F752" s="17"/>
      <c r="G752" s="34"/>
      <c r="H752" s="45"/>
      <c r="I752" s="21"/>
      <c r="J752" s="21"/>
      <c r="K752" s="38"/>
      <c r="L752" s="138"/>
      <c r="M752" s="138"/>
      <c r="N752" s="139"/>
      <c r="O752" s="140"/>
    </row>
    <row r="753" spans="1:15" ht="20.25">
      <c r="A753" s="39"/>
      <c r="B753" s="31"/>
      <c r="C753" s="2"/>
      <c r="D753" s="2"/>
      <c r="E753" s="2"/>
      <c r="F753" s="24"/>
      <c r="G753" s="2"/>
      <c r="H753" s="24"/>
      <c r="I753" s="24"/>
      <c r="J753" s="24"/>
      <c r="K753" s="2"/>
      <c r="O753" s="104">
        <f>AVERAGE(O747:O752)</f>
        <v>0.012073303238065259</v>
      </c>
    </row>
    <row r="754" spans="1:15" ht="15.75">
      <c r="A754" s="78" t="s">
        <v>120</v>
      </c>
      <c r="O754" s="55"/>
    </row>
    <row r="755" spans="1:15" ht="22.5">
      <c r="A755" s="6" t="s">
        <v>288</v>
      </c>
      <c r="B755" s="8" t="s">
        <v>312</v>
      </c>
      <c r="C755" s="13" t="s">
        <v>289</v>
      </c>
      <c r="D755" s="13" t="s">
        <v>290</v>
      </c>
      <c r="E755" s="13" t="s">
        <v>1012</v>
      </c>
      <c r="F755" s="3" t="s">
        <v>291</v>
      </c>
      <c r="G755" s="13" t="s">
        <v>292</v>
      </c>
      <c r="H755" s="36">
        <v>5</v>
      </c>
      <c r="I755" s="15">
        <v>40563</v>
      </c>
      <c r="J755" s="15">
        <v>3488.42</v>
      </c>
      <c r="K755" s="26">
        <f>J755/I755</f>
        <v>0.0860000493060178</v>
      </c>
      <c r="L755" s="25">
        <v>41652</v>
      </c>
      <c r="M755" s="25" t="s">
        <v>293</v>
      </c>
      <c r="N755" s="19">
        <f>10708.63/40563</f>
        <v>0.2639999506939822</v>
      </c>
      <c r="O755" s="37">
        <f>K755/N755</f>
        <v>0.32575782336302594</v>
      </c>
    </row>
    <row r="756" spans="1:15" ht="22.5">
      <c r="A756" s="6" t="s">
        <v>294</v>
      </c>
      <c r="B756" s="8" t="s">
        <v>312</v>
      </c>
      <c r="C756" s="13" t="s">
        <v>289</v>
      </c>
      <c r="D756" s="13" t="s">
        <v>290</v>
      </c>
      <c r="E756" s="13" t="s">
        <v>1012</v>
      </c>
      <c r="F756" s="3" t="s">
        <v>291</v>
      </c>
      <c r="G756" s="13" t="s">
        <v>295</v>
      </c>
      <c r="H756" s="36">
        <v>5</v>
      </c>
      <c r="I756" s="15">
        <v>19837</v>
      </c>
      <c r="J756" s="15">
        <v>1705.98</v>
      </c>
      <c r="K756" s="26">
        <f>J756/I756</f>
        <v>0.08599989917830317</v>
      </c>
      <c r="L756" s="25">
        <v>41652</v>
      </c>
      <c r="M756" s="25" t="s">
        <v>293</v>
      </c>
      <c r="N756" s="19">
        <f>5236.97/19837</f>
        <v>0.26400010082169684</v>
      </c>
      <c r="O756" s="37">
        <f>K756/N756</f>
        <v>0.3257570694504647</v>
      </c>
    </row>
    <row r="757" spans="1:15" ht="22.5">
      <c r="A757" s="6" t="s">
        <v>915</v>
      </c>
      <c r="B757" s="8" t="s">
        <v>312</v>
      </c>
      <c r="C757" s="13" t="s">
        <v>916</v>
      </c>
      <c r="D757" s="13" t="s">
        <v>917</v>
      </c>
      <c r="E757" s="13" t="s">
        <v>1012</v>
      </c>
      <c r="F757" s="3" t="s">
        <v>1008</v>
      </c>
      <c r="G757" s="13" t="s">
        <v>918</v>
      </c>
      <c r="H757" s="36">
        <v>49</v>
      </c>
      <c r="I757" s="15">
        <v>190067</v>
      </c>
      <c r="J757" s="15">
        <v>28000</v>
      </c>
      <c r="K757" s="26">
        <f>J757/I757</f>
        <v>0.14731647261228936</v>
      </c>
      <c r="L757" s="25" t="s">
        <v>919</v>
      </c>
      <c r="M757" s="25" t="s">
        <v>920</v>
      </c>
      <c r="N757" s="19">
        <f>695645.22/190067</f>
        <v>3.6599999999999997</v>
      </c>
      <c r="O757" s="37">
        <f>K757/N757</f>
        <v>0.04025040235308453</v>
      </c>
    </row>
  </sheetData>
  <mergeCells count="18">
    <mergeCell ref="B41:H41"/>
    <mergeCell ref="B47:H47"/>
    <mergeCell ref="B59:I59"/>
    <mergeCell ref="B72:I72"/>
    <mergeCell ref="B84:I84"/>
    <mergeCell ref="B93:I93"/>
    <mergeCell ref="B99:I99"/>
    <mergeCell ref="B20:H20"/>
    <mergeCell ref="B32:H32"/>
    <mergeCell ref="B7:H7"/>
    <mergeCell ref="C5:H5"/>
    <mergeCell ref="B5:B6"/>
    <mergeCell ref="B57:B58"/>
    <mergeCell ref="C57:H57"/>
    <mergeCell ref="C107:H107"/>
    <mergeCell ref="B107:B108"/>
    <mergeCell ref="I107:I108"/>
    <mergeCell ref="I57:I58"/>
  </mergeCells>
  <conditionalFormatting sqref="C94:H97 C100:H104 C60:H70 C73:H82 C85:H91">
    <cfRule type="cellIs" priority="1" dxfId="0" operator="greaterThan" stopIfTrue="1">
      <formula>0</formula>
    </cfRule>
  </conditionalFormatting>
  <conditionalFormatting sqref="C42:H45 C48:H52 C8:H18 C21:H30 C33:H39">
    <cfRule type="cellIs" priority="2" dxfId="0" operator="notEqual" stopIfTrue="1">
      <formula>"-"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2017-11-15T16:34:13Z</dcterms:modified>
  <cp:category/>
  <cp:version/>
  <cp:contentType/>
  <cp:contentStatus/>
</cp:coreProperties>
</file>